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 firstSheet="1" activeTab="1"/>
  </bookViews>
  <sheets>
    <sheet name="справочник" sheetId="10" state="hidden" r:id="rId1"/>
    <sheet name="1" sheetId="1" r:id="rId2"/>
    <sheet name="2" sheetId="4" r:id="rId3"/>
    <sheet name="3" sheetId="5" r:id="rId4"/>
    <sheet name="4" sheetId="11" r:id="rId5"/>
    <sheet name="5" sheetId="12" r:id="rId6"/>
    <sheet name="6" sheetId="14" r:id="rId7"/>
    <sheet name="7" sheetId="13" r:id="rId8"/>
    <sheet name="8" sheetId="15" state="hidden" r:id="rId9"/>
  </sheets>
  <externalReferences>
    <externalReference r:id="rId10"/>
  </externalReferences>
  <definedNames>
    <definedName name="_xlnm._FilterDatabase" localSheetId="4" hidden="1">'4'!$B$22:$I$241</definedName>
    <definedName name="_xlnm._FilterDatabase" localSheetId="5" hidden="1">'5'!$B$23:$J$253</definedName>
    <definedName name="_xlnm._FilterDatabase" localSheetId="6" hidden="1">'6'!$B$20:$I$55</definedName>
    <definedName name="_xlnm.Print_Titles" localSheetId="3">'3'!$18:$20</definedName>
    <definedName name="_xlnm.Print_Titles" localSheetId="4">'4'!$20:$22</definedName>
    <definedName name="_xlnm.Print_Titles" localSheetId="5">'5'!$21:$23</definedName>
    <definedName name="_xlnm.Print_Titles" localSheetId="6">'6'!$18:$20</definedName>
    <definedName name="_xlnm.Print_Area" localSheetId="3">'3'!$B$1:$G$80</definedName>
    <definedName name="_xlnm.Print_Area" localSheetId="4">'4'!$B$1:$I$241</definedName>
    <definedName name="_xlnm.Print_Area" localSheetId="5">'5'!$B$1:$J$253</definedName>
    <definedName name="_xlnm.Print_Area" localSheetId="6">'6'!$B$1:$I$55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4"/>
  <c r="D58"/>
  <c r="D51"/>
  <c r="D22"/>
  <c r="H192" i="12"/>
  <c r="H178"/>
  <c r="H175"/>
  <c r="H150"/>
  <c r="H138"/>
  <c r="H78"/>
  <c r="H66"/>
  <c r="H72"/>
  <c r="H180"/>
  <c r="H250"/>
  <c r="H83"/>
  <c r="H68"/>
  <c r="H62"/>
  <c r="H236"/>
  <c r="H52"/>
  <c r="I113"/>
  <c r="H48" i="14"/>
  <c r="I48"/>
  <c r="E33" i="13"/>
  <c r="F33"/>
  <c r="D25"/>
  <c r="D33"/>
  <c r="F27"/>
  <c r="E27"/>
  <c r="D27"/>
  <c r="H77" i="12" l="1"/>
  <c r="I44" i="14"/>
  <c r="I43" s="1"/>
  <c r="H45"/>
  <c r="H47"/>
  <c r="H44" s="1"/>
  <c r="I47"/>
  <c r="G43"/>
  <c r="G44"/>
  <c r="G45"/>
  <c r="G47"/>
  <c r="G48"/>
  <c r="G46"/>
  <c r="E48"/>
  <c r="E47"/>
  <c r="E46"/>
  <c r="E45"/>
  <c r="E44"/>
  <c r="H186" i="11"/>
  <c r="I186"/>
  <c r="H188"/>
  <c r="I188"/>
  <c r="G188"/>
  <c r="I114"/>
  <c r="G116"/>
  <c r="H117"/>
  <c r="H116" s="1"/>
  <c r="I117"/>
  <c r="I116" s="1"/>
  <c r="H115"/>
  <c r="H114" s="1"/>
  <c r="I115"/>
  <c r="G117"/>
  <c r="G115"/>
  <c r="G114" s="1"/>
  <c r="G113" s="1"/>
  <c r="B117"/>
  <c r="B116"/>
  <c r="B115"/>
  <c r="B114"/>
  <c r="B113"/>
  <c r="I179" i="12"/>
  <c r="J179"/>
  <c r="H179"/>
  <c r="H156"/>
  <c r="H141"/>
  <c r="J105"/>
  <c r="H105"/>
  <c r="J106"/>
  <c r="H106"/>
  <c r="I107"/>
  <c r="J107"/>
  <c r="H107"/>
  <c r="I109"/>
  <c r="I106" s="1"/>
  <c r="J109"/>
  <c r="H109"/>
  <c r="H113" i="11" l="1"/>
  <c r="I113"/>
  <c r="D54" i="4"/>
  <c r="E54"/>
  <c r="H235" i="12"/>
  <c r="I185"/>
  <c r="H185"/>
  <c r="H183"/>
  <c r="H171"/>
  <c r="H165"/>
  <c r="H98"/>
  <c r="H96"/>
  <c r="H70"/>
  <c r="H51"/>
  <c r="H48"/>
  <c r="H206"/>
  <c r="H127" l="1"/>
  <c r="G183" i="11"/>
  <c r="H174" i="12"/>
  <c r="H222" i="11"/>
  <c r="H221" s="1"/>
  <c r="I222"/>
  <c r="I221" s="1"/>
  <c r="G222"/>
  <c r="G221" s="1"/>
  <c r="H216"/>
  <c r="H215" s="1"/>
  <c r="I216"/>
  <c r="I215" s="1"/>
  <c r="G216"/>
  <c r="G215" s="1"/>
  <c r="H214" i="12"/>
  <c r="I217"/>
  <c r="J217"/>
  <c r="H217"/>
  <c r="H216"/>
  <c r="I211"/>
  <c r="J211"/>
  <c r="H211"/>
  <c r="H210"/>
  <c r="H123"/>
  <c r="I170"/>
  <c r="I168"/>
  <c r="H154" i="11"/>
  <c r="H153" s="1"/>
  <c r="H152"/>
  <c r="H151" s="1"/>
  <c r="I144" i="12"/>
  <c r="H35" i="14"/>
  <c r="H36"/>
  <c r="H38"/>
  <c r="I180" i="12"/>
  <c r="J180"/>
  <c r="B53" i="5"/>
  <c r="B54"/>
  <c r="H194" i="11"/>
  <c r="H193" s="1"/>
  <c r="I194"/>
  <c r="I193" s="1"/>
  <c r="H196"/>
  <c r="H195" s="1"/>
  <c r="I196"/>
  <c r="I195" s="1"/>
  <c r="G196"/>
  <c r="G195" s="1"/>
  <c r="G194"/>
  <c r="G193" s="1"/>
  <c r="H170"/>
  <c r="H169" s="1"/>
  <c r="I170"/>
  <c r="I169" s="1"/>
  <c r="G170"/>
  <c r="G169" s="1"/>
  <c r="H165"/>
  <c r="H164" s="1"/>
  <c r="I165"/>
  <c r="I164" s="1"/>
  <c r="G165"/>
  <c r="G164" s="1"/>
  <c r="H161"/>
  <c r="H160" s="1"/>
  <c r="I161"/>
  <c r="I160" s="1"/>
  <c r="G161"/>
  <c r="G160" s="1"/>
  <c r="H80"/>
  <c r="H79" s="1"/>
  <c r="I80"/>
  <c r="I79" s="1"/>
  <c r="G80"/>
  <c r="G79" s="1"/>
  <c r="E80"/>
  <c r="E79"/>
  <c r="B80"/>
  <c r="B79"/>
  <c r="H150" l="1"/>
  <c r="I162" i="12"/>
  <c r="F53" i="5" s="1"/>
  <c r="J162" i="12"/>
  <c r="G53" i="5" s="1"/>
  <c r="H162" i="12"/>
  <c r="E53" i="5" s="1"/>
  <c r="D29" i="15" s="1"/>
  <c r="I69" i="12"/>
  <c r="J69"/>
  <c r="H69"/>
  <c r="I157"/>
  <c r="J157"/>
  <c r="H157"/>
  <c r="I153" l="1"/>
  <c r="J153"/>
  <c r="H153"/>
  <c r="F54" i="4"/>
  <c r="D50" l="1"/>
  <c r="I146" i="12"/>
  <c r="I143" s="1"/>
  <c r="J146"/>
  <c r="I191"/>
  <c r="J191"/>
  <c r="H191"/>
  <c r="I189"/>
  <c r="J189"/>
  <c r="H189"/>
  <c r="H85"/>
  <c r="H190" i="11"/>
  <c r="H189" s="1"/>
  <c r="I190"/>
  <c r="I189" s="1"/>
  <c r="G190"/>
  <c r="G189" s="1"/>
  <c r="I182" i="12"/>
  <c r="J182"/>
  <c r="H182"/>
  <c r="F4" i="15" l="1"/>
  <c r="F3"/>
  <c r="F2"/>
  <c r="F58" i="5"/>
  <c r="G58"/>
  <c r="E58"/>
  <c r="B58"/>
  <c r="H174" i="11"/>
  <c r="H173" s="1"/>
  <c r="I174"/>
  <c r="I173" s="1"/>
  <c r="G174"/>
  <c r="G173" s="1"/>
  <c r="I166" i="12"/>
  <c r="J166"/>
  <c r="H166"/>
  <c r="H98" i="11"/>
  <c r="H97" s="1"/>
  <c r="I98"/>
  <c r="I97" s="1"/>
  <c r="G98"/>
  <c r="G97" s="1"/>
  <c r="I90" i="12"/>
  <c r="J90"/>
  <c r="H90"/>
  <c r="B17" i="15" l="1"/>
  <c r="F11"/>
  <c r="F8"/>
  <c r="F9"/>
  <c r="F10"/>
  <c r="F7"/>
  <c r="F21"/>
  <c r="E21"/>
  <c r="D21"/>
  <c r="G210" i="11" l="1"/>
  <c r="G30" l="1"/>
  <c r="I30"/>
  <c r="I29" s="1"/>
  <c r="G54" i="5"/>
  <c r="F55"/>
  <c r="F57"/>
  <c r="B57"/>
  <c r="B55"/>
  <c r="B15" i="14"/>
  <c r="B18" i="12"/>
  <c r="B17" i="11"/>
  <c r="H172"/>
  <c r="H171" s="1"/>
  <c r="I172"/>
  <c r="I171" s="1"/>
  <c r="H176"/>
  <c r="H175" s="1"/>
  <c r="I176"/>
  <c r="I175" s="1"/>
  <c r="H177"/>
  <c r="G172"/>
  <c r="G171" s="1"/>
  <c r="I164" i="12"/>
  <c r="F54" i="5" s="1"/>
  <c r="H164" i="12"/>
  <c r="I161" l="1"/>
  <c r="I160" s="1"/>
  <c r="E54" i="5"/>
  <c r="F52"/>
  <c r="E28" i="15" s="1"/>
  <c r="H168" i="11"/>
  <c r="H167" s="1"/>
  <c r="I155" i="12"/>
  <c r="I152" s="1"/>
  <c r="I151" s="1"/>
  <c r="H227" i="11"/>
  <c r="H226" s="1"/>
  <c r="H225" s="1"/>
  <c r="H224" s="1"/>
  <c r="I227"/>
  <c r="I226" s="1"/>
  <c r="I225" s="1"/>
  <c r="I224" s="1"/>
  <c r="I223" s="1"/>
  <c r="H233"/>
  <c r="H232" s="1"/>
  <c r="H231" s="1"/>
  <c r="H230" s="1"/>
  <c r="H229" s="1"/>
  <c r="H228" s="1"/>
  <c r="I233"/>
  <c r="I232" s="1"/>
  <c r="I231" s="1"/>
  <c r="I230" s="1"/>
  <c r="I229" s="1"/>
  <c r="I228" s="1"/>
  <c r="H238"/>
  <c r="H237" s="1"/>
  <c r="H236" s="1"/>
  <c r="H235" s="1"/>
  <c r="H234" s="1"/>
  <c r="I238"/>
  <c r="I237" s="1"/>
  <c r="I236" s="1"/>
  <c r="I235" s="1"/>
  <c r="I234" s="1"/>
  <c r="H207"/>
  <c r="H206" s="1"/>
  <c r="H205" s="1"/>
  <c r="H204" s="1"/>
  <c r="F65" i="5" s="1"/>
  <c r="F64" s="1"/>
  <c r="I207" i="11"/>
  <c r="I206" s="1"/>
  <c r="I205" s="1"/>
  <c r="I204" s="1"/>
  <c r="H210"/>
  <c r="H209" s="1"/>
  <c r="I210"/>
  <c r="I209" s="1"/>
  <c r="H212"/>
  <c r="H211" s="1"/>
  <c r="I212"/>
  <c r="I211" s="1"/>
  <c r="H214"/>
  <c r="H213" s="1"/>
  <c r="I214"/>
  <c r="I213" s="1"/>
  <c r="H220"/>
  <c r="H219" s="1"/>
  <c r="I220"/>
  <c r="I219" s="1"/>
  <c r="H201"/>
  <c r="H200" s="1"/>
  <c r="H199" s="1"/>
  <c r="H198" s="1"/>
  <c r="H197" s="1"/>
  <c r="I201"/>
  <c r="I200" s="1"/>
  <c r="I199" s="1"/>
  <c r="I198" s="1"/>
  <c r="I197" s="1"/>
  <c r="I192"/>
  <c r="I191" s="1"/>
  <c r="H192"/>
  <c r="H191" s="1"/>
  <c r="I187"/>
  <c r="H187"/>
  <c r="I185"/>
  <c r="I184" s="1"/>
  <c r="H185"/>
  <c r="H184" s="1"/>
  <c r="I182"/>
  <c r="I181" s="1"/>
  <c r="H182"/>
  <c r="H181" s="1"/>
  <c r="I163"/>
  <c r="I162" s="1"/>
  <c r="I159" s="1"/>
  <c r="H163"/>
  <c r="H162" s="1"/>
  <c r="H159" s="1"/>
  <c r="I157"/>
  <c r="I156" s="1"/>
  <c r="I155" s="1"/>
  <c r="H157"/>
  <c r="H156" s="1"/>
  <c r="H155" s="1"/>
  <c r="H149" s="1"/>
  <c r="I148"/>
  <c r="I30" i="14" s="1"/>
  <c r="I29" s="1"/>
  <c r="I28" s="1"/>
  <c r="H148" i="11"/>
  <c r="H147" s="1"/>
  <c r="H146" s="1"/>
  <c r="I145"/>
  <c r="I144" s="1"/>
  <c r="I143" s="1"/>
  <c r="H145"/>
  <c r="H144" s="1"/>
  <c r="H143" s="1"/>
  <c r="H124"/>
  <c r="H123" s="1"/>
  <c r="H122" s="1"/>
  <c r="H121" s="1"/>
  <c r="F46" i="5" s="1"/>
  <c r="I124" i="11"/>
  <c r="I123" s="1"/>
  <c r="I122" s="1"/>
  <c r="I121" s="1"/>
  <c r="G46" i="5" s="1"/>
  <c r="H130" i="11"/>
  <c r="H129" s="1"/>
  <c r="I130"/>
  <c r="I129" s="1"/>
  <c r="H132"/>
  <c r="H131" s="1"/>
  <c r="I132"/>
  <c r="I131" s="1"/>
  <c r="H134"/>
  <c r="H133" s="1"/>
  <c r="I134"/>
  <c r="I133" s="1"/>
  <c r="H120"/>
  <c r="H119" s="1"/>
  <c r="H118" s="1"/>
  <c r="I120"/>
  <c r="I119" s="1"/>
  <c r="I118" s="1"/>
  <c r="H110"/>
  <c r="H54" i="14" s="1"/>
  <c r="H53" s="1"/>
  <c r="H52" s="1"/>
  <c r="I110" i="11"/>
  <c r="I109" s="1"/>
  <c r="I108" s="1"/>
  <c r="I107" s="1"/>
  <c r="I106" s="1"/>
  <c r="G44" i="5" s="1"/>
  <c r="H103" i="11"/>
  <c r="H102" s="1"/>
  <c r="I103"/>
  <c r="I102" s="1"/>
  <c r="H105"/>
  <c r="H104" s="1"/>
  <c r="I105"/>
  <c r="I104" s="1"/>
  <c r="H90"/>
  <c r="H89" s="1"/>
  <c r="I90"/>
  <c r="I89" s="1"/>
  <c r="H92"/>
  <c r="H91" s="1"/>
  <c r="I92"/>
  <c r="I91" s="1"/>
  <c r="H96"/>
  <c r="H95" s="1"/>
  <c r="I96"/>
  <c r="I95" s="1"/>
  <c r="H76"/>
  <c r="H75" s="1"/>
  <c r="I76"/>
  <c r="I75" s="1"/>
  <c r="H78"/>
  <c r="H77" s="1"/>
  <c r="I78"/>
  <c r="I77" s="1"/>
  <c r="H82"/>
  <c r="H81" s="1"/>
  <c r="I82"/>
  <c r="I81" s="1"/>
  <c r="H84"/>
  <c r="I84"/>
  <c r="H85"/>
  <c r="I85"/>
  <c r="H68"/>
  <c r="H67" s="1"/>
  <c r="H66" s="1"/>
  <c r="F36" i="5" s="1"/>
  <c r="E27" i="15" s="1"/>
  <c r="I68" i="11"/>
  <c r="I67" s="1"/>
  <c r="I66" s="1"/>
  <c r="G36" i="5" s="1"/>
  <c r="F27" i="15" s="1"/>
  <c r="H72" i="11"/>
  <c r="H71" s="1"/>
  <c r="H70" s="1"/>
  <c r="H69" s="1"/>
  <c r="F37" i="5" s="1"/>
  <c r="I72" i="11"/>
  <c r="I71" s="1"/>
  <c r="I70" s="1"/>
  <c r="I69" s="1"/>
  <c r="G37" i="5" s="1"/>
  <c r="H65" i="11"/>
  <c r="H64" s="1"/>
  <c r="H63" s="1"/>
  <c r="F35" i="5" s="1"/>
  <c r="I65" i="11"/>
  <c r="I64" s="1"/>
  <c r="I63" s="1"/>
  <c r="G35" i="5" s="1"/>
  <c r="F26" i="15" s="1"/>
  <c r="H58" i="11"/>
  <c r="I58"/>
  <c r="H59"/>
  <c r="I59"/>
  <c r="H60"/>
  <c r="I60"/>
  <c r="H55"/>
  <c r="H54" s="1"/>
  <c r="H53" s="1"/>
  <c r="I55"/>
  <c r="I54" s="1"/>
  <c r="I53" s="1"/>
  <c r="H52"/>
  <c r="H51" s="1"/>
  <c r="H50" s="1"/>
  <c r="F30" i="5" s="1"/>
  <c r="I52" i="11"/>
  <c r="I51" s="1"/>
  <c r="I50" s="1"/>
  <c r="G30" i="5" s="1"/>
  <c r="H49" i="11"/>
  <c r="H48" s="1"/>
  <c r="H47" s="1"/>
  <c r="F29" i="5" s="1"/>
  <c r="E23" i="15" s="1"/>
  <c r="I49" i="11"/>
  <c r="I48" s="1"/>
  <c r="I47" s="1"/>
  <c r="G29" i="5" s="1"/>
  <c r="F23" i="15" s="1"/>
  <c r="H46" i="11"/>
  <c r="H45" s="1"/>
  <c r="H44" s="1"/>
  <c r="F28" i="5" s="1"/>
  <c r="E25" i="15" s="1"/>
  <c r="I46" i="11"/>
  <c r="I45" s="1"/>
  <c r="I44" s="1"/>
  <c r="G28" i="5" s="1"/>
  <c r="F25" i="15" s="1"/>
  <c r="H43" i="11"/>
  <c r="H42" s="1"/>
  <c r="H41" s="1"/>
  <c r="F27" i="5" s="1"/>
  <c r="I43" i="11"/>
  <c r="I42" s="1"/>
  <c r="I41" s="1"/>
  <c r="G27" i="5" s="1"/>
  <c r="H40" i="11"/>
  <c r="H39" s="1"/>
  <c r="H38" s="1"/>
  <c r="F26" i="5" s="1"/>
  <c r="E24" i="15" s="1"/>
  <c r="I40" i="11"/>
  <c r="I39" s="1"/>
  <c r="I38" s="1"/>
  <c r="G26" i="5" s="1"/>
  <c r="F24" i="15" s="1"/>
  <c r="H36" i="11"/>
  <c r="H35" s="1"/>
  <c r="H34" s="1"/>
  <c r="I36"/>
  <c r="I35" s="1"/>
  <c r="I34" s="1"/>
  <c r="H27"/>
  <c r="I27"/>
  <c r="H28"/>
  <c r="I28"/>
  <c r="H31"/>
  <c r="I31"/>
  <c r="G32"/>
  <c r="G31" s="1"/>
  <c r="G85"/>
  <c r="G84"/>
  <c r="G220"/>
  <c r="G219" s="1"/>
  <c r="G214"/>
  <c r="G213" s="1"/>
  <c r="G96"/>
  <c r="G95" s="1"/>
  <c r="G55"/>
  <c r="G54" s="1"/>
  <c r="G53" s="1"/>
  <c r="E31" i="5" s="1"/>
  <c r="I252" i="12"/>
  <c r="H240" i="11" s="1"/>
  <c r="F77" i="5" s="1"/>
  <c r="I209" i="12"/>
  <c r="J209"/>
  <c r="H209"/>
  <c r="I215"/>
  <c r="I214" s="1"/>
  <c r="I213" s="1"/>
  <c r="J215"/>
  <c r="J214" s="1"/>
  <c r="J213" s="1"/>
  <c r="H215"/>
  <c r="H213" s="1"/>
  <c r="I97"/>
  <c r="I95"/>
  <c r="J95"/>
  <c r="I88"/>
  <c r="I87" s="1"/>
  <c r="I86" s="1"/>
  <c r="J88"/>
  <c r="J87" s="1"/>
  <c r="J86" s="1"/>
  <c r="H88"/>
  <c r="I76"/>
  <c r="J76"/>
  <c r="H76"/>
  <c r="I47"/>
  <c r="I46" s="1"/>
  <c r="J47"/>
  <c r="J46" s="1"/>
  <c r="H47"/>
  <c r="H46" s="1"/>
  <c r="I239"/>
  <c r="J239"/>
  <c r="H239"/>
  <c r="I249"/>
  <c r="I248" s="1"/>
  <c r="I247" s="1"/>
  <c r="I246" s="1"/>
  <c r="I244"/>
  <c r="I243" s="1"/>
  <c r="I242" s="1"/>
  <c r="I241" s="1"/>
  <c r="I234"/>
  <c r="I228"/>
  <c r="I227" s="1"/>
  <c r="I226" s="1"/>
  <c r="I225" s="1"/>
  <c r="I224" s="1"/>
  <c r="I222"/>
  <c r="I221" s="1"/>
  <c r="I220" s="1"/>
  <c r="I219" s="1"/>
  <c r="I207"/>
  <c r="I205"/>
  <c r="I202"/>
  <c r="I201" s="1"/>
  <c r="I200" s="1"/>
  <c r="I196"/>
  <c r="I195" s="1"/>
  <c r="I194" s="1"/>
  <c r="I193" s="1"/>
  <c r="I184"/>
  <c r="I177"/>
  <c r="I174"/>
  <c r="I149"/>
  <c r="I148" s="1"/>
  <c r="I142" s="1"/>
  <c r="I140"/>
  <c r="I139" s="1"/>
  <c r="I137"/>
  <c r="I136" s="1"/>
  <c r="I126"/>
  <c r="I124"/>
  <c r="I122"/>
  <c r="I116"/>
  <c r="I115" s="1"/>
  <c r="I114" s="1"/>
  <c r="I112"/>
  <c r="I102"/>
  <c r="I101" s="1"/>
  <c r="I100" s="1"/>
  <c r="I99" s="1"/>
  <c r="I84"/>
  <c r="I82"/>
  <c r="I71"/>
  <c r="I67"/>
  <c r="I65"/>
  <c r="I61"/>
  <c r="I60" s="1"/>
  <c r="I59" s="1"/>
  <c r="I57"/>
  <c r="I56" s="1"/>
  <c r="I55" s="1"/>
  <c r="I54" s="1"/>
  <c r="I50"/>
  <c r="I49" s="1"/>
  <c r="I44"/>
  <c r="I43" s="1"/>
  <c r="I41"/>
  <c r="I40" s="1"/>
  <c r="I38"/>
  <c r="I37" s="1"/>
  <c r="I35"/>
  <c r="I34" s="1"/>
  <c r="I32"/>
  <c r="I31" s="1"/>
  <c r="I28"/>
  <c r="I27" s="1"/>
  <c r="I111" l="1"/>
  <c r="I105" s="1"/>
  <c r="I104" s="1"/>
  <c r="I92" s="1"/>
  <c r="I112" i="11"/>
  <c r="I111" s="1"/>
  <c r="G45" i="5" s="1"/>
  <c r="H112" i="11"/>
  <c r="H111" s="1"/>
  <c r="F45" i="5" s="1"/>
  <c r="I173" i="12"/>
  <c r="I172" s="1"/>
  <c r="I159" s="1"/>
  <c r="I217" i="11"/>
  <c r="G66" i="5" s="1"/>
  <c r="I218" i="11"/>
  <c r="G218"/>
  <c r="G217" s="1"/>
  <c r="E66" i="5" s="1"/>
  <c r="H218" i="11"/>
  <c r="H217" s="1"/>
  <c r="F66" i="5" s="1"/>
  <c r="H180" i="11"/>
  <c r="H179" s="1"/>
  <c r="H166" s="1"/>
  <c r="F50" i="5" s="1"/>
  <c r="I180" i="11"/>
  <c r="I158"/>
  <c r="H158"/>
  <c r="H87" i="12"/>
  <c r="H86" s="1"/>
  <c r="I94"/>
  <c r="I93" s="1"/>
  <c r="G94" i="11"/>
  <c r="G93" s="1"/>
  <c r="E41" i="5" s="1"/>
  <c r="I94" i="11"/>
  <c r="I93" s="1"/>
  <c r="G41" i="5" s="1"/>
  <c r="H94" i="11"/>
  <c r="H93" s="1"/>
  <c r="F41" i="5" s="1"/>
  <c r="F34"/>
  <c r="E26" i="15"/>
  <c r="E30"/>
  <c r="I204" i="12"/>
  <c r="I199" s="1"/>
  <c r="I198" s="1"/>
  <c r="I233"/>
  <c r="I232" s="1"/>
  <c r="I231" s="1"/>
  <c r="I230" s="1"/>
  <c r="I81"/>
  <c r="I80" s="1"/>
  <c r="I79" s="1"/>
  <c r="H83" i="11"/>
  <c r="H74" s="1"/>
  <c r="G70" i="5"/>
  <c r="G69" s="1"/>
  <c r="I42" i="14"/>
  <c r="I41" s="1"/>
  <c r="I40" s="1"/>
  <c r="H88" i="11"/>
  <c r="H87" s="1"/>
  <c r="F40" i="5" s="1"/>
  <c r="H109" i="11"/>
  <c r="H108" s="1"/>
  <c r="H107" s="1"/>
  <c r="H106" s="1"/>
  <c r="F44" i="5" s="1"/>
  <c r="H42" i="14"/>
  <c r="H41" s="1"/>
  <c r="H40" s="1"/>
  <c r="H34" s="1"/>
  <c r="G73" i="5"/>
  <c r="G72" s="1"/>
  <c r="I26" i="11"/>
  <c r="H137"/>
  <c r="H136" s="1"/>
  <c r="H33" i="14"/>
  <c r="H32" s="1"/>
  <c r="H31" s="1"/>
  <c r="H223" i="11"/>
  <c r="F68" i="5"/>
  <c r="F67" s="1"/>
  <c r="G25"/>
  <c r="H128" i="11"/>
  <c r="H127" s="1"/>
  <c r="H126" s="1"/>
  <c r="F48" i="5" s="1"/>
  <c r="G65"/>
  <c r="G64" s="1"/>
  <c r="G68"/>
  <c r="G67" s="1"/>
  <c r="G34"/>
  <c r="H26" i="11"/>
  <c r="H25" s="1"/>
  <c r="H24" s="1"/>
  <c r="F22" i="5" s="1"/>
  <c r="I57" i="11"/>
  <c r="I56" s="1"/>
  <c r="I83"/>
  <c r="I74" s="1"/>
  <c r="I147"/>
  <c r="I146" s="1"/>
  <c r="F75" i="5"/>
  <c r="F74" s="1"/>
  <c r="F73"/>
  <c r="F72" s="1"/>
  <c r="F70"/>
  <c r="F69" s="1"/>
  <c r="H30" i="14"/>
  <c r="H29" s="1"/>
  <c r="H28" s="1"/>
  <c r="I33"/>
  <c r="I32" s="1"/>
  <c r="I31" s="1"/>
  <c r="H101" i="11"/>
  <c r="H100" s="1"/>
  <c r="F43" i="5" s="1"/>
  <c r="I128" i="11"/>
  <c r="I127" s="1"/>
  <c r="I126" s="1"/>
  <c r="G48" i="5" s="1"/>
  <c r="G75"/>
  <c r="G74" s="1"/>
  <c r="I208" i="11"/>
  <c r="I203" s="1"/>
  <c r="F60" i="5"/>
  <c r="F59" s="1"/>
  <c r="F25"/>
  <c r="I51" i="14"/>
  <c r="I50" s="1"/>
  <c r="I49" s="1"/>
  <c r="H57" i="11"/>
  <c r="H56" s="1"/>
  <c r="G60" i="5"/>
  <c r="G59" s="1"/>
  <c r="H51" i="14"/>
  <c r="H50" s="1"/>
  <c r="H49" s="1"/>
  <c r="H43" s="1"/>
  <c r="I54"/>
  <c r="I53" s="1"/>
  <c r="I52" s="1"/>
  <c r="H208" i="11"/>
  <c r="H203" s="1"/>
  <c r="I101"/>
  <c r="I100" s="1"/>
  <c r="I88"/>
  <c r="I87" s="1"/>
  <c r="H62"/>
  <c r="H61" s="1"/>
  <c r="F32" i="5" s="1"/>
  <c r="I62" i="11"/>
  <c r="I61" s="1"/>
  <c r="G32" i="5" s="1"/>
  <c r="I37" i="11"/>
  <c r="H37"/>
  <c r="I64" i="12"/>
  <c r="I63" s="1"/>
  <c r="I30"/>
  <c r="I26" s="1"/>
  <c r="I130"/>
  <c r="I129" s="1"/>
  <c r="I128" s="1"/>
  <c r="I121"/>
  <c r="I120" s="1"/>
  <c r="I119" s="1"/>
  <c r="D30" i="13"/>
  <c r="H135" i="11" l="1"/>
  <c r="F49" i="5" s="1"/>
  <c r="F47" s="1"/>
  <c r="H73" i="11"/>
  <c r="F38" i="5" s="1"/>
  <c r="I73" i="11"/>
  <c r="G38" i="5" s="1"/>
  <c r="F39"/>
  <c r="E31" i="15"/>
  <c r="E32" s="1"/>
  <c r="F30"/>
  <c r="F31"/>
  <c r="H86" i="11"/>
  <c r="H22" i="14"/>
  <c r="H21" s="1"/>
  <c r="H55" s="1"/>
  <c r="F42" i="5"/>
  <c r="I202" i="11"/>
  <c r="G62" i="5"/>
  <c r="G61" s="1"/>
  <c r="I86" i="11"/>
  <c r="G40" i="5"/>
  <c r="G39" s="1"/>
  <c r="I33" i="11"/>
  <c r="G23" i="5" s="1"/>
  <c r="H202" i="11"/>
  <c r="F62" i="5"/>
  <c r="F61" s="1"/>
  <c r="I99" i="11"/>
  <c r="G43" i="5"/>
  <c r="G42" s="1"/>
  <c r="H99" i="11"/>
  <c r="H33"/>
  <c r="F23" i="5" s="1"/>
  <c r="I118" i="12"/>
  <c r="I25"/>
  <c r="B56" i="5"/>
  <c r="H125" i="11" l="1"/>
  <c r="F21" i="5"/>
  <c r="F76" s="1"/>
  <c r="H23" i="11"/>
  <c r="I24" i="12"/>
  <c r="I251" s="1"/>
  <c r="I253" s="1"/>
  <c r="E20" i="1"/>
  <c r="F20"/>
  <c r="D20"/>
  <c r="H239" i="11" l="1"/>
  <c r="H241" s="1"/>
  <c r="H22" i="12"/>
  <c r="G19" i="14"/>
  <c r="G21" i="11"/>
  <c r="E20" i="4"/>
  <c r="H19" i="14"/>
  <c r="H21" i="11"/>
  <c r="I22" i="12"/>
  <c r="G19" i="5"/>
  <c r="I19" i="14"/>
  <c r="I21" i="11"/>
  <c r="F20" i="4"/>
  <c r="F19" i="5"/>
  <c r="D20" i="4"/>
  <c r="E19" i="5"/>
  <c r="E19" i="13" l="1"/>
  <c r="F19"/>
  <c r="D19"/>
  <c r="F54" i="14"/>
  <c r="E54"/>
  <c r="D54"/>
  <c r="C54"/>
  <c r="E53"/>
  <c r="E52"/>
  <c r="F51"/>
  <c r="E51"/>
  <c r="D51"/>
  <c r="C51"/>
  <c r="E50"/>
  <c r="E49"/>
  <c r="E43"/>
  <c r="F42"/>
  <c r="E42"/>
  <c r="D42"/>
  <c r="C42"/>
  <c r="E41"/>
  <c r="E40"/>
  <c r="F39"/>
  <c r="E39"/>
  <c r="D39"/>
  <c r="C39"/>
  <c r="E38"/>
  <c r="F37"/>
  <c r="E37"/>
  <c r="D37"/>
  <c r="C37"/>
  <c r="E36"/>
  <c r="E35"/>
  <c r="E34"/>
  <c r="F33"/>
  <c r="E33"/>
  <c r="D33"/>
  <c r="C33"/>
  <c r="E32"/>
  <c r="E31"/>
  <c r="F30"/>
  <c r="E30"/>
  <c r="D30"/>
  <c r="C30"/>
  <c r="E29"/>
  <c r="E28"/>
  <c r="F27"/>
  <c r="E27"/>
  <c r="D27"/>
  <c r="C27"/>
  <c r="E26"/>
  <c r="F25"/>
  <c r="E25"/>
  <c r="D25"/>
  <c r="C25"/>
  <c r="E24"/>
  <c r="E23"/>
  <c r="E22"/>
  <c r="E21"/>
  <c r="B54"/>
  <c r="B53"/>
  <c r="B52"/>
  <c r="B51"/>
  <c r="B50"/>
  <c r="B49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I11"/>
  <c r="I10"/>
  <c r="I9"/>
  <c r="I8"/>
  <c r="I7"/>
  <c r="I4"/>
  <c r="I3"/>
  <c r="I2"/>
  <c r="B15" i="13"/>
  <c r="F11"/>
  <c r="F10"/>
  <c r="F9"/>
  <c r="F8"/>
  <c r="F7"/>
  <c r="F4"/>
  <c r="F3"/>
  <c r="F2"/>
  <c r="B105" i="12"/>
  <c r="I178" i="11"/>
  <c r="I177" s="1"/>
  <c r="I168" s="1"/>
  <c r="I167" s="1"/>
  <c r="I154"/>
  <c r="I39" i="14" s="1"/>
  <c r="I38" s="1"/>
  <c r="I152" i="11"/>
  <c r="I37" i="14" s="1"/>
  <c r="I36" s="1"/>
  <c r="I142" i="11"/>
  <c r="I27" i="14" s="1"/>
  <c r="I26" s="1"/>
  <c r="I140" i="11"/>
  <c r="I25" i="14" s="1"/>
  <c r="I24" s="1"/>
  <c r="G238" i="11"/>
  <c r="G237" s="1"/>
  <c r="G236" s="1"/>
  <c r="G235" s="1"/>
  <c r="E75" i="5" s="1"/>
  <c r="G233" i="11"/>
  <c r="G232" s="1"/>
  <c r="G231" s="1"/>
  <c r="G227"/>
  <c r="G226" s="1"/>
  <c r="G225" s="1"/>
  <c r="G224" s="1"/>
  <c r="E68" i="5" s="1"/>
  <c r="G212" i="11"/>
  <c r="G211" s="1"/>
  <c r="G209"/>
  <c r="G207"/>
  <c r="G206" s="1"/>
  <c r="G205" s="1"/>
  <c r="G201"/>
  <c r="G200" s="1"/>
  <c r="G199" s="1"/>
  <c r="G198" s="1"/>
  <c r="E60" i="5" s="1"/>
  <c r="G192" i="11"/>
  <c r="G191" s="1"/>
  <c r="G187"/>
  <c r="G186" s="1"/>
  <c r="G185"/>
  <c r="G184" s="1"/>
  <c r="G182"/>
  <c r="G181" s="1"/>
  <c r="G178"/>
  <c r="G177" s="1"/>
  <c r="G176"/>
  <c r="G175" s="1"/>
  <c r="G163"/>
  <c r="G162" s="1"/>
  <c r="G159" s="1"/>
  <c r="G157"/>
  <c r="G42" i="14" s="1"/>
  <c r="G41" s="1"/>
  <c r="G40" s="1"/>
  <c r="G154" i="11"/>
  <c r="G39" i="14" s="1"/>
  <c r="G38" s="1"/>
  <c r="G152" i="11"/>
  <c r="G37" i="14" s="1"/>
  <c r="G36" s="1"/>
  <c r="G148" i="11"/>
  <c r="G147" s="1"/>
  <c r="G146" s="1"/>
  <c r="G145"/>
  <c r="G33" i="14" s="1"/>
  <c r="G32" s="1"/>
  <c r="G31" s="1"/>
  <c r="G142" i="11"/>
  <c r="G141" s="1"/>
  <c r="G140"/>
  <c r="G139" s="1"/>
  <c r="G134"/>
  <c r="G133" s="1"/>
  <c r="G132"/>
  <c r="G131" s="1"/>
  <c r="G130"/>
  <c r="G129" s="1"/>
  <c r="G124"/>
  <c r="G123" s="1"/>
  <c r="G122" s="1"/>
  <c r="G121" s="1"/>
  <c r="E46" i="5" s="1"/>
  <c r="G120" i="11"/>
  <c r="G51" i="14" s="1"/>
  <c r="G50" s="1"/>
  <c r="G49" s="1"/>
  <c r="G110" i="11"/>
  <c r="G54" i="14" s="1"/>
  <c r="G53" s="1"/>
  <c r="G52" s="1"/>
  <c r="G105" i="11"/>
  <c r="G104" s="1"/>
  <c r="G103"/>
  <c r="G102" s="1"/>
  <c r="G92"/>
  <c r="G91" s="1"/>
  <c r="G90"/>
  <c r="G89" s="1"/>
  <c r="G82"/>
  <c r="G81" s="1"/>
  <c r="G78"/>
  <c r="G77" s="1"/>
  <c r="G76"/>
  <c r="G75" s="1"/>
  <c r="G72"/>
  <c r="G71" s="1"/>
  <c r="G70" s="1"/>
  <c r="G69" s="1"/>
  <c r="E37" i="5" s="1"/>
  <c r="G68" i="11"/>
  <c r="G67" s="1"/>
  <c r="G66" s="1"/>
  <c r="E36" i="5" s="1"/>
  <c r="D27" i="15" s="1"/>
  <c r="G65" i="11"/>
  <c r="G64" s="1"/>
  <c r="G63" s="1"/>
  <c r="E35" i="5" s="1"/>
  <c r="D26" i="15" s="1"/>
  <c r="G60" i="11"/>
  <c r="G59"/>
  <c r="G58"/>
  <c r="G52"/>
  <c r="G51" s="1"/>
  <c r="G50" s="1"/>
  <c r="E30" i="5" s="1"/>
  <c r="G49" i="11"/>
  <c r="G48" s="1"/>
  <c r="G47" s="1"/>
  <c r="E29" i="5" s="1"/>
  <c r="D23" i="15" s="1"/>
  <c r="G46" i="11"/>
  <c r="G45" s="1"/>
  <c r="G44" s="1"/>
  <c r="E28" i="5" s="1"/>
  <c r="D25" i="15" s="1"/>
  <c r="G43" i="11"/>
  <c r="G42" s="1"/>
  <c r="G41" s="1"/>
  <c r="E27" i="5" s="1"/>
  <c r="G40" i="11"/>
  <c r="G39" s="1"/>
  <c r="G38" s="1"/>
  <c r="E26" i="5" s="1"/>
  <c r="D24" i="15" s="1"/>
  <c r="G36" i="11"/>
  <c r="G35" s="1"/>
  <c r="G34" s="1"/>
  <c r="G29"/>
  <c r="G28"/>
  <c r="G27"/>
  <c r="G208" l="1"/>
  <c r="I35" i="14"/>
  <c r="I34" s="1"/>
  <c r="G180" i="11"/>
  <c r="G179" s="1"/>
  <c r="G168"/>
  <c r="G167" s="1"/>
  <c r="G158"/>
  <c r="E25" i="5"/>
  <c r="G37" i="11"/>
  <c r="G26"/>
  <c r="G25" s="1"/>
  <c r="G24" s="1"/>
  <c r="E22" i="5" s="1"/>
  <c r="G144" i="11"/>
  <c r="G143" s="1"/>
  <c r="G57"/>
  <c r="G56" s="1"/>
  <c r="G88"/>
  <c r="G87" s="1"/>
  <c r="E40" i="5" s="1"/>
  <c r="E39" s="1"/>
  <c r="G30" i="14"/>
  <c r="G29" s="1"/>
  <c r="G28" s="1"/>
  <c r="G119" i="11"/>
  <c r="G118" s="1"/>
  <c r="G109"/>
  <c r="G108" s="1"/>
  <c r="G107" s="1"/>
  <c r="G106" s="1"/>
  <c r="E44" i="5" s="1"/>
  <c r="G83" i="11"/>
  <c r="G74" s="1"/>
  <c r="G156"/>
  <c r="G155" s="1"/>
  <c r="G128"/>
  <c r="G127" s="1"/>
  <c r="G126" s="1"/>
  <c r="E48" i="5" s="1"/>
  <c r="G153" i="11"/>
  <c r="I23" i="14"/>
  <c r="I22" s="1"/>
  <c r="G35"/>
  <c r="G34" s="1"/>
  <c r="G197" i="11"/>
  <c r="G138"/>
  <c r="G234"/>
  <c r="G223"/>
  <c r="G62"/>
  <c r="G61" s="1"/>
  <c r="E32" i="5" s="1"/>
  <c r="G230" i="11"/>
  <c r="G204"/>
  <c r="G101"/>
  <c r="G100" s="1"/>
  <c r="E43" i="5" s="1"/>
  <c r="G25" i="14"/>
  <c r="G24" s="1"/>
  <c r="G151" i="11"/>
  <c r="G27" i="14"/>
  <c r="G26" s="1"/>
  <c r="H249" i="12"/>
  <c r="H248" s="1"/>
  <c r="H247" s="1"/>
  <c r="H246" s="1"/>
  <c r="H244"/>
  <c r="H243" s="1"/>
  <c r="H242" s="1"/>
  <c r="H241" s="1"/>
  <c r="H237"/>
  <c r="H234"/>
  <c r="H228"/>
  <c r="H227" s="1"/>
  <c r="H226" s="1"/>
  <c r="H225" s="1"/>
  <c r="H224" s="1"/>
  <c r="H222"/>
  <c r="H221" s="1"/>
  <c r="H220" s="1"/>
  <c r="H219" s="1"/>
  <c r="H207"/>
  <c r="H205"/>
  <c r="H202"/>
  <c r="H201" s="1"/>
  <c r="H200" s="1"/>
  <c r="H196"/>
  <c r="H195" s="1"/>
  <c r="H194" s="1"/>
  <c r="H193" s="1"/>
  <c r="H187"/>
  <c r="H186" s="1"/>
  <c r="H184"/>
  <c r="H177"/>
  <c r="H170"/>
  <c r="E57" i="5" s="1"/>
  <c r="H168" i="12"/>
  <c r="H161" s="1"/>
  <c r="H155"/>
  <c r="H149"/>
  <c r="H148" s="1"/>
  <c r="H146"/>
  <c r="H144"/>
  <c r="H140"/>
  <c r="H139" s="1"/>
  <c r="H137"/>
  <c r="H136" s="1"/>
  <c r="H134"/>
  <c r="H132"/>
  <c r="H126"/>
  <c r="H124"/>
  <c r="H122"/>
  <c r="H116"/>
  <c r="H115" s="1"/>
  <c r="H114" s="1"/>
  <c r="H112"/>
  <c r="H111" s="1"/>
  <c r="H102"/>
  <c r="H101" s="1"/>
  <c r="H100" s="1"/>
  <c r="H99" s="1"/>
  <c r="H97"/>
  <c r="H95"/>
  <c r="H84"/>
  <c r="H82"/>
  <c r="H73"/>
  <c r="H71"/>
  <c r="H67"/>
  <c r="H65"/>
  <c r="H61"/>
  <c r="H60" s="1"/>
  <c r="H59" s="1"/>
  <c r="H57"/>
  <c r="H56" s="1"/>
  <c r="H55" s="1"/>
  <c r="H54" s="1"/>
  <c r="H50"/>
  <c r="H49" s="1"/>
  <c r="H44"/>
  <c r="H43" s="1"/>
  <c r="H41"/>
  <c r="H40" s="1"/>
  <c r="H38"/>
  <c r="H37" s="1"/>
  <c r="H35"/>
  <c r="H34" s="1"/>
  <c r="H32"/>
  <c r="H31" s="1"/>
  <c r="H28"/>
  <c r="H27" s="1"/>
  <c r="J22"/>
  <c r="J249"/>
  <c r="J248" s="1"/>
  <c r="J247" s="1"/>
  <c r="J246" s="1"/>
  <c r="J244"/>
  <c r="J243" s="1"/>
  <c r="J242" s="1"/>
  <c r="J241" s="1"/>
  <c r="J237"/>
  <c r="J234"/>
  <c r="J228"/>
  <c r="J227" s="1"/>
  <c r="J226" s="1"/>
  <c r="J225" s="1"/>
  <c r="J224" s="1"/>
  <c r="J222"/>
  <c r="J221" s="1"/>
  <c r="J220" s="1"/>
  <c r="J219" s="1"/>
  <c r="J207"/>
  <c r="J205"/>
  <c r="J202"/>
  <c r="J201" s="1"/>
  <c r="J200" s="1"/>
  <c r="J196"/>
  <c r="J195" s="1"/>
  <c r="J194" s="1"/>
  <c r="J193" s="1"/>
  <c r="J187"/>
  <c r="J186" s="1"/>
  <c r="J184"/>
  <c r="J177"/>
  <c r="J174"/>
  <c r="J170"/>
  <c r="G57" i="5" s="1"/>
  <c r="J168" i="12"/>
  <c r="G55" i="5" s="1"/>
  <c r="J155" i="12"/>
  <c r="J152" s="1"/>
  <c r="J151" s="1"/>
  <c r="J149"/>
  <c r="J148" s="1"/>
  <c r="J144"/>
  <c r="J140"/>
  <c r="J139" s="1"/>
  <c r="J137"/>
  <c r="J136" s="1"/>
  <c r="J134"/>
  <c r="J132"/>
  <c r="J126"/>
  <c r="J124"/>
  <c r="J122"/>
  <c r="J116"/>
  <c r="J115" s="1"/>
  <c r="J114" s="1"/>
  <c r="J112"/>
  <c r="J111" s="1"/>
  <c r="J104" s="1"/>
  <c r="J102"/>
  <c r="J101" s="1"/>
  <c r="J100" s="1"/>
  <c r="J99" s="1"/>
  <c r="J97"/>
  <c r="J94" s="1"/>
  <c r="J93" s="1"/>
  <c r="J84"/>
  <c r="J82"/>
  <c r="J73"/>
  <c r="J71"/>
  <c r="J67"/>
  <c r="J65"/>
  <c r="J61"/>
  <c r="J60" s="1"/>
  <c r="J59" s="1"/>
  <c r="J57"/>
  <c r="J56" s="1"/>
  <c r="J55" s="1"/>
  <c r="J54" s="1"/>
  <c r="J50"/>
  <c r="J49" s="1"/>
  <c r="J44"/>
  <c r="J43" s="1"/>
  <c r="J41"/>
  <c r="J40" s="1"/>
  <c r="J38"/>
  <c r="J37" s="1"/>
  <c r="J35"/>
  <c r="J34" s="1"/>
  <c r="J32"/>
  <c r="J31" s="1"/>
  <c r="J28"/>
  <c r="J27" s="1"/>
  <c r="J11"/>
  <c r="J10"/>
  <c r="J9"/>
  <c r="J8"/>
  <c r="J7"/>
  <c r="J4"/>
  <c r="J3"/>
  <c r="J2"/>
  <c r="I179" i="11"/>
  <c r="I153"/>
  <c r="I151"/>
  <c r="I141"/>
  <c r="I139"/>
  <c r="I25"/>
  <c r="I24" s="1"/>
  <c r="I11"/>
  <c r="I10"/>
  <c r="I9"/>
  <c r="I8"/>
  <c r="I7"/>
  <c r="I4"/>
  <c r="I3"/>
  <c r="I2"/>
  <c r="B15" i="5"/>
  <c r="B16" i="4"/>
  <c r="B16" i="1"/>
  <c r="G111" i="11" l="1"/>
  <c r="E45" i="5" s="1"/>
  <c r="G112" i="11"/>
  <c r="E65" i="5"/>
  <c r="D30" i="15" s="1"/>
  <c r="G203" i="11"/>
  <c r="H173" i="12"/>
  <c r="H172" s="1"/>
  <c r="J173"/>
  <c r="J172" s="1"/>
  <c r="H204"/>
  <c r="H199" s="1"/>
  <c r="H198" s="1"/>
  <c r="H152"/>
  <c r="H151" s="1"/>
  <c r="H64"/>
  <c r="H63" s="1"/>
  <c r="G73" i="11"/>
  <c r="E38" i="5" s="1"/>
  <c r="H160" i="12"/>
  <c r="G52" i="5"/>
  <c r="F28" i="15" s="1"/>
  <c r="F32" s="1"/>
  <c r="J161" i="12"/>
  <c r="J160" s="1"/>
  <c r="J233"/>
  <c r="J232" s="1"/>
  <c r="J231" s="1"/>
  <c r="J230" s="1"/>
  <c r="E55" i="5"/>
  <c r="J204" i="12"/>
  <c r="J199" s="1"/>
  <c r="J198" s="1"/>
  <c r="G229" i="11"/>
  <c r="E70" i="5" s="1"/>
  <c r="E73"/>
  <c r="D31" i="15" s="1"/>
  <c r="G22" i="5"/>
  <c r="G21" s="1"/>
  <c r="I23" i="11"/>
  <c r="I21" i="14"/>
  <c r="I55" s="1"/>
  <c r="G86" i="11"/>
  <c r="H30" i="12"/>
  <c r="H26" s="1"/>
  <c r="J64"/>
  <c r="J63" s="1"/>
  <c r="H233"/>
  <c r="H232" s="1"/>
  <c r="H231" s="1"/>
  <c r="H230" s="1"/>
  <c r="G137" i="11"/>
  <c r="H104" i="12"/>
  <c r="J30"/>
  <c r="J26" s="1"/>
  <c r="G33" i="11"/>
  <c r="E23" i="5" s="1"/>
  <c r="H81" i="12"/>
  <c r="H80" s="1"/>
  <c r="H79" s="1"/>
  <c r="H94"/>
  <c r="H93" s="1"/>
  <c r="H131"/>
  <c r="H130" s="1"/>
  <c r="H143"/>
  <c r="H142" s="1"/>
  <c r="G23" i="14"/>
  <c r="G22" s="1"/>
  <c r="G21" s="1"/>
  <c r="G55" s="1"/>
  <c r="J81" i="12"/>
  <c r="J80" s="1"/>
  <c r="J79" s="1"/>
  <c r="G150" i="11"/>
  <c r="G149" s="1"/>
  <c r="J121" i="12"/>
  <c r="J120" s="1"/>
  <c r="J119" s="1"/>
  <c r="H121"/>
  <c r="H120" s="1"/>
  <c r="H119" s="1"/>
  <c r="I138" i="11"/>
  <c r="I137" s="1"/>
  <c r="J92" i="12"/>
  <c r="J131"/>
  <c r="J130" s="1"/>
  <c r="J143"/>
  <c r="J142" s="1"/>
  <c r="I150" i="11"/>
  <c r="I149" s="1"/>
  <c r="G166"/>
  <c r="E50" i="5" s="1"/>
  <c r="I166" i="11"/>
  <c r="F80" i="5"/>
  <c r="G99" i="11" l="1"/>
  <c r="D28" i="15"/>
  <c r="D32" s="1"/>
  <c r="E52" i="5"/>
  <c r="I136" i="11"/>
  <c r="I135" s="1"/>
  <c r="G49" i="5" s="1"/>
  <c r="G202" i="11"/>
  <c r="E62" i="5"/>
  <c r="G228" i="11"/>
  <c r="G50" i="5"/>
  <c r="J159" i="12"/>
  <c r="G136" i="11"/>
  <c r="G135" s="1"/>
  <c r="H92" i="12"/>
  <c r="G23" i="11"/>
  <c r="H129" i="12"/>
  <c r="H128" s="1"/>
  <c r="J25"/>
  <c r="H159"/>
  <c r="H25"/>
  <c r="J129"/>
  <c r="J128" s="1"/>
  <c r="G80" i="5"/>
  <c r="E74"/>
  <c r="E72"/>
  <c r="E67"/>
  <c r="E64"/>
  <c r="E59"/>
  <c r="E34"/>
  <c r="E80" l="1"/>
  <c r="G47"/>
  <c r="G76" s="1"/>
  <c r="I125" i="11"/>
  <c r="G125"/>
  <c r="G239" s="1"/>
  <c r="E49" i="5"/>
  <c r="H118" i="12"/>
  <c r="H24" s="1"/>
  <c r="H251" s="1"/>
  <c r="J118"/>
  <c r="J24" s="1"/>
  <c r="J251" s="1"/>
  <c r="E42" i="5"/>
  <c r="E69"/>
  <c r="I239" i="11" l="1"/>
  <c r="E61" i="5"/>
  <c r="E21"/>
  <c r="E47" l="1"/>
  <c r="E76" s="1"/>
  <c r="E78" s="1"/>
  <c r="D26" i="1" s="1"/>
  <c r="D25" s="1"/>
  <c r="G11" i="5" l="1"/>
  <c r="G10"/>
  <c r="G9"/>
  <c r="G8"/>
  <c r="G7"/>
  <c r="G4"/>
  <c r="G3"/>
  <c r="G2"/>
  <c r="F52" i="4"/>
  <c r="E57"/>
  <c r="F57"/>
  <c r="D57"/>
  <c r="E59"/>
  <c r="F59"/>
  <c r="D59"/>
  <c r="F55"/>
  <c r="E55"/>
  <c r="D55"/>
  <c r="E52"/>
  <c r="D52"/>
  <c r="E49"/>
  <c r="F49"/>
  <c r="J252" i="12" s="1"/>
  <c r="D49" i="4"/>
  <c r="I240" i="11" l="1"/>
  <c r="I241" s="1"/>
  <c r="J253" i="12"/>
  <c r="H253"/>
  <c r="D48" i="4"/>
  <c r="D47" s="1"/>
  <c r="E48"/>
  <c r="E47" s="1"/>
  <c r="E61" s="1"/>
  <c r="E24" i="1" s="1"/>
  <c r="E23" s="1"/>
  <c r="F48" i="4"/>
  <c r="F47" s="1"/>
  <c r="F61" s="1"/>
  <c r="F24" i="1" s="1"/>
  <c r="F23" s="1"/>
  <c r="D45" i="4"/>
  <c r="D43"/>
  <c r="D39"/>
  <c r="D36"/>
  <c r="D34" s="1"/>
  <c r="D32"/>
  <c r="D28"/>
  <c r="D27" s="1"/>
  <c r="D24"/>
  <c r="D23" s="1"/>
  <c r="F8"/>
  <c r="F9"/>
  <c r="F10"/>
  <c r="F11"/>
  <c r="F7"/>
  <c r="F3"/>
  <c r="F4"/>
  <c r="F2"/>
  <c r="G77" i="5" l="1"/>
  <c r="G78" s="1"/>
  <c r="F26" i="1" s="1"/>
  <c r="F25" s="1"/>
  <c r="F22" s="1"/>
  <c r="F78" i="5"/>
  <c r="E26" i="1" s="1"/>
  <c r="E25" s="1"/>
  <c r="E22" s="1"/>
  <c r="G241" i="11"/>
  <c r="D61" i="4"/>
  <c r="D24" i="1" s="1"/>
  <c r="D23" s="1"/>
  <c r="D22" s="1"/>
</calcChain>
</file>

<file path=xl/sharedStrings.xml><?xml version="1.0" encoding="utf-8"?>
<sst xmlns="http://schemas.openxmlformats.org/spreadsheetml/2006/main" count="2506" uniqueCount="458">
  <si>
    <t>Приложение 1</t>
  </si>
  <si>
    <t>к решению Городского Совета</t>
  </si>
  <si>
    <t>муниципального образования "Город Вытегра"</t>
  </si>
  <si>
    <t>"О бюджете муниципального образования "Город Вытегра"</t>
  </si>
  <si>
    <t>ИСТОЧНИКИ</t>
  </si>
  <si>
    <t>ВНУТРЕННЕГО ФИНАНСИРОВАНИЯ ДЕФИЦИТА БЮДЖЕТА</t>
  </si>
  <si>
    <t>МУНИЦИПАЛЬНОГО ОБРАЗОВАНИЯ "ГОРОД ВЫТЕГРА"</t>
  </si>
  <si>
    <t>(тыс. рублей)</t>
  </si>
  <si>
    <t>Сумма</t>
  </si>
  <si>
    <t>2024 год</t>
  </si>
  <si>
    <t>2025 год</t>
  </si>
  <si>
    <t>Код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</si>
  <si>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</si>
  <si>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849 01 05 00 00 00 0000 000</t>
  </si>
  <si>
    <t>849 01 05 02 00 00 0000 500</t>
  </si>
  <si>
    <t>849 01 05 02 01 13 0000 510</t>
  </si>
  <si>
    <t>849 01 05 02 00 00 0000 600</t>
  </si>
  <si>
    <t>849 01 05 02 01 13 0000 610</t>
  </si>
  <si>
    <t>Изменение остатков средств на счетах по учету средств бюджетов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</si>
  <si>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</si>
  <si>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</si>
  <si>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Увеличение прочих остатков средств бюджетов</t>
  </si>
  <si>
    <t>Уменьшение прочих остатков средств бюджетов</t>
  </si>
  <si>
    <t>Приложение 2</t>
  </si>
  <si>
    <t>ОБЪЕМ ДОХОДОВ БЮДЖЕТА МУНИЦИПАЛЬНОГО ОБРАЗОВАНИЯ "ГОРОД ВЫТЕГРА",</t>
  </si>
  <si>
    <t xml:space="preserve">ФОРМИРУЕМЫЙ ЗА СЧЕТ НАЛОГОВЫХ И НЕНАЛОГОВЫХ ДОХОДОВ, </t>
  </si>
  <si>
    <t>А ТАКЖЕ БЕЗВОЗМЕЗДНЫХ ПОСТУПЛЕНИЙ,</t>
  </si>
  <si>
    <t>Наименование групп, подгрупп и статей доходов</t>
  </si>
  <si>
    <t>1 00 00000 00 0000 000</t>
  </si>
  <si>
    <t>НАЛОГОВЫЕ И НЕНАЛОГОВЫЕ ДОХОДЫ</t>
  </si>
  <si>
    <t>Налог на доходы физических лиц</t>
  </si>
  <si>
    <t>1 01 02000 01 0000 110</t>
  </si>
  <si>
    <t>1 01 02010 01 0000 110</t>
  </si>
  <si>
    <t>1 01 02080 01 0000 110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</si>
  <si>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</si>
  <si>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</si>
  <si>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</si>
  <si>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</si>
  <si>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</si>
  <si>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</si>
  <si>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</si>
  <si>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</si>
  <si>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</si>
  <si>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</si>
  <si>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1 05 03000 01 0000 110</t>
  </si>
  <si>
    <t>Единый сельскохозяйственный налог</t>
  </si>
  <si>
    <t>НАЛОГИ НА СОВОКУПНЫЙ ДОХОД</t>
  </si>
  <si>
    <t>1 05 00000 00 0000 000</t>
  </si>
  <si>
    <t>НАЛОГИ НА ИМУЩЕСТВО</t>
  </si>
  <si>
    <t>1 06 00000 00 0000 000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</si>
  <si>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</si>
  <si>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</si>
  <si>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</si>
  <si>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</si>
  <si>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1 06 01000 00 0000 110</t>
  </si>
  <si>
    <t>1 06 06000 00 0000 110</t>
  </si>
  <si>
    <t>1 06 06030 00 0000 110</t>
  </si>
  <si>
    <t>1 06 06040 00 0000 110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</si>
  <si>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</si>
  <si>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</si>
  <si>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1 11 05013 13 0000 120</t>
  </si>
  <si>
    <t>1 11 05035 13 0000 120</t>
  </si>
  <si>
    <t>1 11 09045 13 0000 120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</si>
  <si>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</si>
  <si>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</si>
  <si>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</si>
  <si>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</si>
  <si>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компенсации затрат бюджетов городских поселений</t>
  </si>
  <si>
    <t>1 13 00000 00 0000 000</t>
  </si>
  <si>
    <t>1 13 02995 13 0000 130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</si>
  <si>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</si>
  <si>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</si>
  <si>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1 14 00000 00 0000 000</t>
  </si>
  <si>
    <t>1 14 06013 13 0000 430</t>
  </si>
  <si>
    <t>НАЛОГИ НА ТОВАРЫ (РАБОТЫ, УСЛУГИ), РЕАЛИЗУЕМЫЕ НА ТЕРРИТОРИИ РОССИЙСКОЙ ФЕДЕРАЦИИ</t>
  </si>
  <si>
    <t>1 03 00000 00 0000 000</t>
  </si>
  <si>
    <t>НАЛОГИ НА ПРИБЫЛЬ, ДОХОДЫ</t>
  </si>
  <si>
    <t>1 01 00000 00 0000 000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</si>
  <si>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</si>
  <si>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</si>
  <si>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</si>
  <si>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</si>
  <si>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</si>
  <si>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</si>
  <si>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2 02 16001 13 0000 150</t>
  </si>
  <si>
    <t>Дотации бюджетам городских поселений на выравнивание  бюджетной обеспеченности из  бюджетов  муниципальных районов</t>
  </si>
  <si>
    <t>2 02 15002 13 0000 150</t>
  </si>
  <si>
    <t>Дотации бюджетам городских поселений на поддержку мер по обеспечению сбалансированности  бюджетов</t>
  </si>
  <si>
    <t>2 02 20000 00 0000 150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</si>
  <si>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</si>
  <si>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2 02 29999 13 0000 150</t>
  </si>
  <si>
    <t>2 02 30000 00 0000 150</t>
  </si>
  <si>
    <t xml:space="preserve">Субвенции бюджетам бюджетной системы Российской Федерации </t>
  </si>
  <si>
    <t>2 02 36900 13 0000 150</t>
  </si>
  <si>
    <t>Единая субвенция бюджетам городских поселений из бюджета Российской Федерации</t>
  </si>
  <si>
    <t>Субсидии бюджетам бюджетной системы Российской Федерации (межбюджетные субсидии)</t>
  </si>
  <si>
    <t xml:space="preserve">Иные межбюджетные трансферты </t>
  </si>
  <si>
    <t>2 07 00000 00 0000 000</t>
  </si>
  <si>
    <t>Прочие безвозмездные поступления</t>
  </si>
  <si>
    <t>2 07 05020 13 0000 150</t>
  </si>
  <si>
    <t>Поступления от денежных пожертвований, предоставляемых физическими лицами получателям средств  бюджетов городских поселений</t>
  </si>
  <si>
    <t>2 02 25243 13 0000 150</t>
  </si>
  <si>
    <t>ВСЕГО ДОХОДОВ</t>
  </si>
  <si>
    <t>Приложение 3</t>
  </si>
  <si>
    <t>РАСПРЕДЕЛЕНИЕ БЮДЖЕТНЫХ АССИГНОВАНИЙ</t>
  </si>
  <si>
    <t xml:space="preserve"> ПО РАЗДЕЛАМ, ПОДРАЗДЕЛАМ КЛАССИФИКАЦИИ РАСХОДОВ БЮДЖЕТОВ</t>
  </si>
  <si>
    <t>Объем бюджетных ассигнований</t>
  </si>
  <si>
    <t>Наименование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</si>
  <si>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</si>
  <si>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</si>
  <si>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</si>
  <si>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из них </t>
  </si>
  <si>
    <t>Межбюджетные трансферты</t>
  </si>
  <si>
    <t>Иные межбюджетные трансферты на осуществление полномочий в сфере градостроительной деятельности</t>
  </si>
  <si>
    <t>Иные межбюджетные трансферты на осуществление полномочий в сфере культуры (администрирование)</t>
  </si>
  <si>
    <t>Иные межбюджетные трансферты на осуществление полномочий внутреннего контроля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</si>
  <si>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</si>
  <si>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осуществление полномочий по формированию и исполнению бюджетагородского поселения, подготовке проектов правовых актов по установлению, изменению и отмене местных налогов и сборов городского поселения</t>
  </si>
  <si>
    <t>Иные межбюджетные трансферты на осуществление полномочий по внешнему финансовому контролю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</si>
  <si>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</si>
  <si>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</si>
  <si>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</si>
  <si>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</si>
  <si>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</si>
  <si>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Транспорт</t>
  </si>
  <si>
    <t>Дорожное хозяйство (дорожные фонды)</t>
  </si>
  <si>
    <t>Сельское хозяйство и рыболовство</t>
  </si>
  <si>
    <t>Другие вопросы в области национальной экономики</t>
  </si>
  <si>
    <t>ЖИЛИЩНО-КОММУНАЛЬНОЕ ХОЗЯЙСТВО</t>
  </si>
  <si>
    <t xml:space="preserve">Жилищное хозяйство 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</si>
  <si>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</si>
  <si>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</si>
  <si>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</si>
  <si>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</si>
  <si>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</si>
  <si>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</si>
  <si>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</si>
  <si>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</si>
  <si>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</si>
  <si>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</si>
  <si>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</si>
  <si>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издательство</t>
  </si>
  <si>
    <t>Итого расходов</t>
  </si>
  <si>
    <t>01</t>
  </si>
  <si>
    <t>03</t>
  </si>
  <si>
    <t>04</t>
  </si>
  <si>
    <t>06</t>
  </si>
  <si>
    <t>11</t>
  </si>
  <si>
    <t>13</t>
  </si>
  <si>
    <t>10</t>
  </si>
  <si>
    <t>08</t>
  </si>
  <si>
    <t>09</t>
  </si>
  <si>
    <t>05</t>
  </si>
  <si>
    <t>12</t>
  </si>
  <si>
    <t>02</t>
  </si>
  <si>
    <t>07</t>
  </si>
  <si>
    <t>условно утверждаемые расходы</t>
  </si>
  <si>
    <t>Иные межбюджетные трансферты на осуществление полномочий в сфере гражданской обороны, защиты населения и территории поселения от чрезвычайных ситуаций природного и техногенного характера</t>
  </si>
  <si>
    <t>Иные межбюджетные трансферты на осуществление полномочий в сфере библиотечного обслуживания</t>
  </si>
  <si>
    <t>иные межбюджетные трансферты, перечисляемые в бюджет муниципального района</t>
  </si>
  <si>
    <t>Иные межбюджетные трансферты на осуществление полномочий в сфере физической культуры и спорта</t>
  </si>
  <si>
    <t>Всего расходов</t>
  </si>
  <si>
    <t>Приложение 4</t>
  </si>
  <si>
    <t>КЦСР</t>
  </si>
  <si>
    <t>КВР</t>
  </si>
  <si>
    <t>ПО РАЗДЕЛАМ, ПОДРАЗДЕЛАМ, ЦЕЛЕВЫМ СТАТЬЯМ (МУНИЦИПАЛЬНЫМ ПРОГРАММАМ</t>
  </si>
  <si>
    <t>И НЕПРОГРАММНЫМ НАПРАВЛЕНИЯМ ДЕЯТЕЛЬНОСТИ), ГРУППАМ (ГРУППАМ И ПОДГРУППАМ)</t>
  </si>
  <si>
    <t/>
  </si>
  <si>
    <t xml:space="preserve">   </t>
  </si>
  <si>
    <t>Обеспечение деятельности представительных органов муниципального образования</t>
  </si>
  <si>
    <t>92 0 00 00000</t>
  </si>
  <si>
    <t>Расходы на обеспечение функционирования органов местного самоуправления</t>
  </si>
  <si>
    <t>92 0 00 00190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</si>
  <si>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</si>
  <si>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</si>
  <si>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</si>
  <si>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</si>
  <si>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Расходы на содержание работников органов местного самоуправления, не являющихся муниципальными служащими</t>
  </si>
  <si>
    <t>92 0 00 00191</t>
  </si>
  <si>
    <t>Осуществление переданных полномочий</t>
  </si>
  <si>
    <t>73 0 00 00000</t>
  </si>
  <si>
    <t>73 0 00 72310</t>
  </si>
  <si>
    <t>76 0 00 00000</t>
  </si>
  <si>
    <t>76 2 00 00000</t>
  </si>
  <si>
    <t>Иные межбюджетные трансферты, перечисляемые в бюджет муниципального района в соответствии с заключенными Соглашениями</t>
  </si>
  <si>
    <t>76 2 00 64010</t>
  </si>
  <si>
    <t>Иные межбюджетные трансферты</t>
  </si>
  <si>
    <t>540</t>
  </si>
  <si>
    <t>76 5 00 00000</t>
  </si>
  <si>
    <t>76 5 00 64010</t>
  </si>
  <si>
    <t xml:space="preserve">Иные межбюджетные трансферты на осуществление полномочий в сфере гражданской обороны, защиты населения и территории поселения от чрезвычайных ситуаций природного и техногенного характера
</t>
  </si>
  <si>
    <t>76 6 00 00000</t>
  </si>
  <si>
    <t>76 6 00 64010</t>
  </si>
  <si>
    <t>Иные межбюджетные трансферты на осуществление полномочий по внутреннему контролю</t>
  </si>
  <si>
    <t>76 7 00 00000</t>
  </si>
  <si>
    <t>76 7 00 64010</t>
  </si>
  <si>
    <t>76 9 00 00000</t>
  </si>
  <si>
    <t>76 9 00 64010</t>
  </si>
  <si>
    <t>Обеспечение деятельности органов местного самоуправления</t>
  </si>
  <si>
    <t>91 0 00 00000</t>
  </si>
  <si>
    <t>91 0 00 00190</t>
  </si>
  <si>
    <t>Уплата налогов, сборов и иных платежей</t>
  </si>
  <si>
    <t>850</t>
  </si>
  <si>
    <t>76 1 00 00000</t>
  </si>
  <si>
    <t>76 1 00 64010</t>
  </si>
  <si>
    <t>76 8 00 00000</t>
  </si>
  <si>
    <t>76 8 00 64010</t>
  </si>
  <si>
    <t>70 0 00 00000</t>
  </si>
  <si>
    <t>Резервные фонды местной администрации</t>
  </si>
  <si>
    <t>70 5 00 00000</t>
  </si>
  <si>
    <t>870</t>
  </si>
  <si>
    <t>Реализация муниципальных функций, связанных с общегосударственным управлением</t>
  </si>
  <si>
    <t>97 0 00 00000</t>
  </si>
  <si>
    <t>Содержание и обслуживание муниципальной казны</t>
  </si>
  <si>
    <t>97 0 00 20520</t>
  </si>
  <si>
    <t>Землеустроительные работы</t>
  </si>
  <si>
    <t>97 0 00 20530</t>
  </si>
  <si>
    <t>Взнос в Ассоциацию «Совет муниципальных образований Вологодской области»</t>
  </si>
  <si>
    <t>97 0 00 21080</t>
  </si>
  <si>
    <t>Возмещение расходов на исполнение судебных актов и мировых соглашений</t>
  </si>
  <si>
    <t>97 0 00 21320</t>
  </si>
  <si>
    <t>Исполнение судебных актов</t>
  </si>
  <si>
    <t>830</t>
  </si>
  <si>
    <t>Мероприятия, связанные с обеспечением безопасности и жизнедеятельности</t>
  </si>
  <si>
    <t>78 0 00 00000</t>
  </si>
  <si>
    <t xml:space="preserve">Мероприятия по пожарной безопасности муниципального образования </t>
  </si>
  <si>
    <t>78 0 00 23010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</si>
  <si>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</si>
  <si>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78 0 00 23080</t>
  </si>
  <si>
    <t>Мероприятия в области сельского хозяйства</t>
  </si>
  <si>
    <t>51 0 00 00000</t>
  </si>
  <si>
    <t>Проведение мероприятий по предотвращению распространения сорного растения борщевик Сосновского</t>
  </si>
  <si>
    <t>51 0 00 71400</t>
  </si>
  <si>
    <t>Софинансирование по проведение мероприятий по предотвращению распространения сорного растения борщевик Сосновского</t>
  </si>
  <si>
    <t>51 0 00 S1400</t>
  </si>
  <si>
    <t>Муниципальная программа "Развитие транспортной системы на территории муниципального образования «Город Вытегра» Вытегорского муниципального района Вологодской области на 2022-2026г.г.».</t>
  </si>
  <si>
    <t>02 0 00 00000</t>
  </si>
  <si>
    <t>Основное мероприятие 3 "Создание условий для содержания автобусного маршрута"</t>
  </si>
  <si>
    <t>02 0 03 00000</t>
  </si>
  <si>
    <t>Компенсация недополученных доходов транспортным организациям и индивидуальным предпринимателям</t>
  </si>
  <si>
    <t>02 0 03 60620</t>
  </si>
  <si>
    <t>Основное мероприятие 2 "Содержание автомобильных дорог и искусственных сооружений»</t>
  </si>
  <si>
    <t>02 0 02 00000</t>
  </si>
  <si>
    <t>Осуществление дорожной деятельности в отношении автомобильных дорог общего пользования местного значения поселения</t>
  </si>
  <si>
    <t>02 0 02 20200</t>
  </si>
  <si>
    <t>Организация работ по оценке в отношении земельных участков и объектов недвижимого имущества</t>
  </si>
  <si>
    <t>97 0 00 20580</t>
  </si>
  <si>
    <t>Мероприятия в области жилищно-коммунального хозяйства</t>
  </si>
  <si>
    <t>85 0 00 00000</t>
  </si>
  <si>
    <t>Мероприятия в области жилищного хозяйства</t>
  </si>
  <si>
    <t>85 1 00 00000</t>
  </si>
  <si>
    <t xml:space="preserve">Мероприятия по капитальному ремонту муниципального жилищного фонда </t>
  </si>
  <si>
    <t>85 1 00 20210</t>
  </si>
  <si>
    <t>Взносы в фонд капитального ремонта</t>
  </si>
  <si>
    <t>85 1 00 20360</t>
  </si>
  <si>
    <t xml:space="preserve">Прочие мероприятия в сфере жилищного хозяйства </t>
  </si>
  <si>
    <t>85 1 00 20370</t>
  </si>
  <si>
    <t>Подпрограмма 1 "Комплексное развитие систем коммунальной инфраструктуры в сфере водоснабжения муниципального образования "Город Вытегра"</t>
  </si>
  <si>
    <t>Основное мероприятие 1 "Строительство и реконструкция (модернизация) объектов питьевого водоснабжения"</t>
  </si>
  <si>
    <t>01 1 01 00000</t>
  </si>
  <si>
    <t>Мероприятия по проектированию объектов централизованных систем водоснабжения</t>
  </si>
  <si>
    <t>01 1 01 73040</t>
  </si>
  <si>
    <t>Бюджетные инвестиции</t>
  </si>
  <si>
    <t>410</t>
  </si>
  <si>
    <t>Софинансирование мероприятий по проектированию объектов централизованных систем водоснабжения</t>
  </si>
  <si>
    <t>01 1 01 S3040</t>
  </si>
  <si>
    <t>Основное мероприятие 3 "Текущий и капитальный ремонт водопроводных сетей"</t>
  </si>
  <si>
    <t>Мероприятия по текущему и капитальному ремонту водопроводных сетей</t>
  </si>
  <si>
    <t>Мероприятия на строительство, реконструкцию (модернизацию) объектов питьевого водоснабжения в рамках регионального проекта "Чистая вода""</t>
  </si>
  <si>
    <t>Подпрограмма 2 "Комплексное развитие систем коммунальной инфраструктуры в сфере водоотведения муниципального образования "Город Вытегра"</t>
  </si>
  <si>
    <t>Основное мероприятие 1 "Строительство и реконструкция (модернизация) объектов водоотведения"</t>
  </si>
  <si>
    <t>Мероприятия по строительству, реконструкции и капитальный ремонт централизованных систем водоотведения</t>
  </si>
  <si>
    <t>Софинансирование мероприятия по строительству, реконструкции и капитальному ремонту централизованных систем водоотведения</t>
  </si>
  <si>
    <t>Мероприятия по текущему и капитальному ремонту канализационных сетей</t>
  </si>
  <si>
    <t>Мероприятия в области коммунального хозяйства</t>
  </si>
  <si>
    <t>85 2 00 00000</t>
  </si>
  <si>
    <t>Прочие мероприятия по коммунальному хозяйству</t>
  </si>
  <si>
    <t>85 2 00 20350</t>
  </si>
  <si>
    <t>Иные межбюджетные трансферты на осуществление полномочий на реализацию мероприятий по благоустройству территорий</t>
  </si>
  <si>
    <t>76 0 20 00000</t>
  </si>
  <si>
    <t>Иные межбюджетные трансферты на осуществление полномочий на реализацию мероприятий по благоустройству дворовых территорий</t>
  </si>
  <si>
    <t>76 0 20 L5551</t>
  </si>
  <si>
    <t>Иные межбюджетные трансферты на осуществление полномочий на реализацию мероприятий по благоустройству общественных территорий</t>
  </si>
  <si>
    <t>76 0 20 L5552</t>
  </si>
  <si>
    <t>Мероприятия в области благоустройства</t>
  </si>
  <si>
    <t>85 3 00 00000</t>
  </si>
  <si>
    <t xml:space="preserve">Организация уличного освещения </t>
  </si>
  <si>
    <t>85 3 00 20220</t>
  </si>
  <si>
    <t>Организация и содержание мест захоронений</t>
  </si>
  <si>
    <t>85 3 00 20240</t>
  </si>
  <si>
    <t>Прочие мероприятия по благоустройству территории муниципального образования</t>
  </si>
  <si>
    <t>85 3 00 20250</t>
  </si>
  <si>
    <t xml:space="preserve">Мероприятия на организацию уличного освещения </t>
  </si>
  <si>
    <t>85 3 00 71090</t>
  </si>
  <si>
    <t>Прочие межбюджетные трансферты</t>
  </si>
  <si>
    <t>85 3 F2 00000</t>
  </si>
  <si>
    <t>Мероприятия по реализации проектов муниципальных образований-победителей Всероссийского конкурса лучших проектов создания комфортной городской среды</t>
  </si>
  <si>
    <t>85 3 F2 54240</t>
  </si>
  <si>
    <t>Организационно-воспитательная работа</t>
  </si>
  <si>
    <t>79 0 00 00000</t>
  </si>
  <si>
    <t>Проведение мероприятий для детей и молодежи</t>
  </si>
  <si>
    <t>79 0 00 20590</t>
  </si>
  <si>
    <t>Субсидия бюджетным учреждениям</t>
  </si>
  <si>
    <t>610</t>
  </si>
  <si>
    <t>76 4 00 00000</t>
  </si>
  <si>
    <t>Иные межбюджетные трансферты, перечисляемые в бюджет муниципального района в соответствии с заключенными соглашениями</t>
  </si>
  <si>
    <t>76 4 00 64010</t>
  </si>
  <si>
    <t>Обеспечение деятельности муниципального учреждения</t>
  </si>
  <si>
    <t>77 0 00 00000</t>
  </si>
  <si>
    <t>Учреждения культуры</t>
  </si>
  <si>
    <t>77 0 00 01590</t>
  </si>
  <si>
    <t>Обеспечение реализации расходных обязательств в части обеспечения выплаты заработной платы работникам муниципальных учреждений</t>
  </si>
  <si>
    <t>77 0 00 70030</t>
  </si>
  <si>
    <t>Мероприятия в сфере социальной политики</t>
  </si>
  <si>
    <t>83 0 00 00000</t>
  </si>
  <si>
    <t>Пенсионное обеспечение за выслугу лет</t>
  </si>
  <si>
    <t>83 0 00 83010</t>
  </si>
  <si>
    <t>Иные пенсии, социальные доплаты к пенсиям</t>
  </si>
  <si>
    <t>310</t>
  </si>
  <si>
    <t>Периодическая печать</t>
  </si>
  <si>
    <t>69 0 00 00000</t>
  </si>
  <si>
    <t>Мероприятия в области печати</t>
  </si>
  <si>
    <t>69 0 00 20290</t>
  </si>
  <si>
    <t>Осуществление переданных отдельных государственных полномочий субъекта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закона области от 8 декабря 2010 года № 2429-ОЗ "Об административных правонарушениях в Вологодской области", в соответствии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</t>
  </si>
  <si>
    <t>800</t>
  </si>
  <si>
    <t>Иные бюджетные ассигнования</t>
  </si>
  <si>
    <t>Основное мероприятие 2 "Строительство и реконструкция(модернизация) объектов питьевого водоснабжения в рамках регионального проекта "Чистая вода"</t>
  </si>
  <si>
    <t>РЗ</t>
  </si>
  <si>
    <t>ПР</t>
  </si>
  <si>
    <t>Субсидии бюджетным учреждениям</t>
  </si>
  <si>
    <t>ГРБС</t>
  </si>
  <si>
    <t>Приложение 6</t>
  </si>
  <si>
    <t>ВЕДОМСТВЕННАЯ СТРУКТУРА</t>
  </si>
  <si>
    <t>РАСХОДОВ БЮДЖЕТА МУНИЦИПАЛЬНОГО ОБРАЗОВАНИЯ "ГОРОД ВЫТЕГРА"</t>
  </si>
  <si>
    <t>Администрация муниципального образования "Город Вытегра"</t>
  </si>
  <si>
    <t>Городской Совет муниципального образования "Город Вытегра"</t>
  </si>
  <si>
    <t>Приложение 5</t>
  </si>
  <si>
    <t>НА РЕАЛИЗАЦИЮ МУНИЦИПАЛЬНЫХ ПРОГРАММ</t>
  </si>
  <si>
    <t>НА 2023 ГОД</t>
  </si>
  <si>
    <t>Иные межбюджетные трансферты на осуществление полномочий по формированию и исполнению бюджета городского поселения, подготовке проектов правовых актов по установлению, изменению и отмене местных налогов и сборов городского поселения</t>
  </si>
  <si>
    <t>Основное мероприятие 2 "Текущий и капитальный ремонт канализационных сетей"</t>
  </si>
  <si>
    <t>Под-раздел</t>
  </si>
  <si>
    <t xml:space="preserve"> СТАТЬЯМ (МУНИЦИПАЛЬНЫМ ПРОГРАММАМ И НЕПРОГРАММНЫМ НАПРАВЛЕНИЯМ ДЕЯТЕЛЬНОСТИ),</t>
  </si>
  <si>
    <t>ПО ГЛАВНЫМ РАСПОРЯДИТЕЛЯМ БЮДЖЕТНЫХ СРЕДСТВ, РАЗДЕЛАМ, ПОДРАЗДЕЛАМ И (ИЛИ) ЦЕЛЕВЫМ</t>
  </si>
  <si>
    <t>ВИДОВ РАСХОДОВ КЛАССИФИКАЦИИ РАСХОДОВ БЮДЖЕТОВ</t>
  </si>
  <si>
    <t>ГРУППАМ (ГРУППАМ И ПОДГРУППАМ) ВИДОВ РАСХОДОВ КЛАССИФИКАЦИИ РАСХОДОВ БЮДЖЕТОВ</t>
  </si>
  <si>
    <t>НА ПЛАНОВЫЙ ПЕРИОД 2024 И 2025 ГОДОВ</t>
  </si>
  <si>
    <t>Муниципальная программа "Развитие транспортной системы на территории муниципального образования "Город Вытегра" Вытегорского муниципального района Вологодской области на 2022-2026г.г."</t>
  </si>
  <si>
    <t>Приложение 7</t>
  </si>
  <si>
    <t>03 0 00 00000</t>
  </si>
  <si>
    <t>03 1 00 00000</t>
  </si>
  <si>
    <t>03 1 03 00000</t>
  </si>
  <si>
    <t>03 1 03 20360</t>
  </si>
  <si>
    <t>03 1 F5 00000</t>
  </si>
  <si>
    <t>03 1 F5 52430</t>
  </si>
  <si>
    <t>03 2 00 00000</t>
  </si>
  <si>
    <t>03 2 02 00000</t>
  </si>
  <si>
    <t>03 2 02 20360</t>
  </si>
  <si>
    <t>03 1 01 00000</t>
  </si>
  <si>
    <t>03 1 01 73040</t>
  </si>
  <si>
    <t>03 1 01 S3040</t>
  </si>
  <si>
    <t>03 2 01 00000</t>
  </si>
  <si>
    <t>03 2 01 73040</t>
  </si>
  <si>
    <t>03 2 01 S3040</t>
  </si>
  <si>
    <t>Мероприятия на строительство, реконструкции (модернизацию) объектов питьевого водоснабжения</t>
  </si>
  <si>
    <t>Раз-дел</t>
  </si>
  <si>
    <t>ОБЪЕМ ДОХОДОВ И РАСПРЕДЕЛЕНИЕ БЮДЖЕТНЫХ АССИГНОВАНИЙ</t>
  </si>
  <si>
    <t xml:space="preserve"> ДОРОЖНОГО ФОНДА МУНИЦИПАЛЬНОГО ОБРАЗОВАНИЯ "ГОРОД ВЫТЕГРА"</t>
  </si>
  <si>
    <t>Код бюджетной классификации</t>
  </si>
  <si>
    <t>остаток средств на 1 января 2023 года</t>
  </si>
  <si>
    <t>ДОХОДЫ</t>
  </si>
  <si>
    <t>Акцизы на автомобильный бензин, дизельное топливо, на моторные масла для дизельных и (или) карбюраторных (инжекторных) двигателей, производимые на территории Российской Федерации,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</si>
  <si>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182 1 01 02000 01 0000 110</t>
  </si>
  <si>
    <t xml:space="preserve">Осуществление дорожной деятельности в отношении автомобильных дорог общего пользования местного значения </t>
  </si>
  <si>
    <t>849 04 09 02 0 02 20200 000</t>
  </si>
  <si>
    <t>Всего бюджетных ассигнований</t>
  </si>
  <si>
    <t>Всего доходов</t>
  </si>
  <si>
    <t>Софинансирование мероприятий по реализации проекта "Народный бюджет"</t>
  </si>
  <si>
    <t>Другие вопросы в области культуры, кинематографии</t>
  </si>
  <si>
    <t>Мероприятия в сфере культуры</t>
  </si>
  <si>
    <t>68 0 00 00000</t>
  </si>
  <si>
    <t>68 0 00 20260</t>
  </si>
  <si>
    <t>Прочие субсидии бюджетам городских поселений</t>
  </si>
  <si>
    <t>76 0 20 L1551</t>
  </si>
  <si>
    <t>Иные межбюджетные трансферты на осуществление полномочий на реализацию мероприятий по благоустройству дворовой территории многоквартирного дома</t>
  </si>
  <si>
    <t>2026 год</t>
  </si>
  <si>
    <t>НА 2024 ГОД И ПЛАНОВЫЙ ПЕРИОД 2025 И 2026 ГОДОВ</t>
  </si>
  <si>
    <t>Иные межбюджетные трансферты на осуществление полномочий на реализацию мероприятий по благоустройству территорий (администрирование)</t>
  </si>
  <si>
    <t>14</t>
  </si>
  <si>
    <t>Другие вопросы в области национальной безопасности и правоохранительной деятельности</t>
  </si>
  <si>
    <t>Мероприятия по антитеррористической защищенности мест массового пребывания людей</t>
  </si>
  <si>
    <t>78 0 02 71130</t>
  </si>
  <si>
    <t>77 0 00 20260</t>
  </si>
  <si>
    <t>на 2024 год и плановый период 2025 и 2026 годов"</t>
  </si>
  <si>
    <t>76 A 00 64010</t>
  </si>
  <si>
    <t>76 A 00 00000</t>
  </si>
  <si>
    <t>ИНЫЕ МЕЖБЮДЖЕТНЫЕ ТРАНСФЕРТЫ,</t>
  </si>
  <si>
    <t>БЮДЖЕТУ МУНИЦИПАЛЬНОГО РАЙОНА</t>
  </si>
  <si>
    <t>НА ОСУЩЕСТВЛЕНИЕ ЧАСТИ ПОЛНОМОЧИЙ ПО РЕШЕНИЮ ВОПРОСОВ МЕСТНОГО ЗНАЧЕНИЯ</t>
  </si>
  <si>
    <t>№ п\п</t>
  </si>
  <si>
    <t>Наименование полномочия</t>
  </si>
  <si>
    <t>1.</t>
  </si>
  <si>
    <t>Осуществление полномочий по внутреннему финансовому контролю</t>
  </si>
  <si>
    <t>2.</t>
  </si>
  <si>
    <t>Осуществление полномочий по формированию, исполнению бюджета поселения, подготовке проектов правовых актов по установлению, изменению и отмене местных налогов и сборов поселения</t>
  </si>
  <si>
    <t>3.</t>
  </si>
  <si>
    <t>Осуществление полномочий по внешнему финансовому контролю</t>
  </si>
  <si>
    <t>4.</t>
  </si>
  <si>
    <t>Осуществление полномочий в сфере культуры</t>
  </si>
  <si>
    <t>5.</t>
  </si>
  <si>
    <t>Осуществление полномочий в сфере физической культуры и спорта</t>
  </si>
  <si>
    <t>ИТОГО</t>
  </si>
  <si>
    <t>Приложение 8</t>
  </si>
  <si>
    <t>ПРЕДОСТАВЛЯЕМЫЕ ИЗ БЮДЖЕТА МУНИЦИПАЛЬНОГО ОБРАЗОВАНИЯ "ГОРОД ВЫТЕГРА"</t>
  </si>
  <si>
    <t>Осуществление полномочий в сфере градостроительной деятельности</t>
  </si>
  <si>
    <t>Осуществление полномочий в сфере гражданской обороны, защиты населения и территории поселения от чрезвычайных ситуаций природного и техногенного характера</t>
  </si>
  <si>
    <t>6.</t>
  </si>
  <si>
    <t>7.</t>
  </si>
  <si>
    <t>8.</t>
  </si>
  <si>
    <t>Осуществление полномочий по благоустройству территории</t>
  </si>
  <si>
    <t>Софинансирование мероприятий по антитеррористической защищенности мест массового пребывания людей</t>
  </si>
  <si>
    <t>78 0 02 S1130</t>
  </si>
  <si>
    <t>Иные межбюджетные трансферты на осуществление полномочий на реализацию мероприятий по благоустройству общественных территорий с обустройством спортивной и детской площадок в комплексе</t>
  </si>
  <si>
    <t>76 0 20 L1553</t>
  </si>
  <si>
    <t>Муниципальная программа «Комплексное развитие систем коммунальной инфраструктуры в сфере водоснабжения и водоотведения муниципального образования «Город Вытегра» Вытегорского муниципального района Вологодской области на 2024-2026г.г.»</t>
  </si>
  <si>
    <t>от 14 декабря 2023 года № 78</t>
  </si>
  <si>
    <t>Реализации проектов муниципальных образований-победителей Всероссийского конкурса лучших проектов создания комфортной городской среды</t>
  </si>
  <si>
    <t>85 3 00 54240</t>
  </si>
  <si>
    <t>Мероприятия на обустройство систем уличного освещения</t>
  </si>
  <si>
    <t>85 3 00 73350</t>
  </si>
  <si>
    <t>Софинансирование мероприятий на обустройство систем уличного освещения</t>
  </si>
  <si>
    <t>85 3 00 S3350</t>
  </si>
  <si>
    <t>2 04 00000 00 0000 000</t>
  </si>
  <si>
    <t>Безвозмездные поступления от негосударственных организаций</t>
  </si>
  <si>
    <t>2 04 05099 13 0000 150</t>
  </si>
  <si>
    <t>Прочие безвозмездные поступления от негосударственных организаций в бюджеты городских поселений</t>
  </si>
  <si>
    <t>85 2 00 20260</t>
  </si>
  <si>
    <t>Мероприятия по реализации проекта "Народный бюджет"</t>
  </si>
  <si>
    <t>85 2 00 72270</t>
  </si>
  <si>
    <t>Приобретение имущества в муниципальную собственность</t>
  </si>
  <si>
    <t>97 0 00 20570</t>
  </si>
  <si>
    <t>76 0 20 L1100</t>
  </si>
  <si>
    <t>Иные межбюджетные трансферты на осуществление части полномочий в сфере обращения с твердыми коммунальными отходами на территории МО "Город Вытегра"</t>
  </si>
  <si>
    <t>9.</t>
  </si>
  <si>
    <t>Осуществление полномочий в сфере обращения с твердыми коммунальными отходами на территории МО "Город Вытегра"</t>
  </si>
  <si>
    <t>77 0 00 72270</t>
  </si>
  <si>
    <t>68 0 00 72270</t>
  </si>
  <si>
    <t>Основное мероприятие 1 "Ремонт автомобильных дорог и искусственных сооружений»</t>
  </si>
  <si>
    <t>02 0 01 00000</t>
  </si>
  <si>
    <t>Мероприятия по ремонту улично-дорожной сети  в г. Вытегра</t>
  </si>
  <si>
    <t>Софинансирование мероприятий по  ремонту улично-дорожной сети в г.Вытегра</t>
  </si>
  <si>
    <t>02 0 01 71350</t>
  </si>
  <si>
    <t>02 0 01 S1350</t>
  </si>
  <si>
    <t>182 1 03 02200 01 0000 110</t>
  </si>
  <si>
    <t>849 2 04 05099 13 0000 150</t>
  </si>
  <si>
    <t xml:space="preserve">849 04 09 02 0 01 71350 000 </t>
  </si>
  <si>
    <t xml:space="preserve">849 04 09 02 0 01 S1350 000 </t>
  </si>
  <si>
    <t>от 17.10.2024 года № 115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</si>
</sst>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indent="2"/>
    </xf>
    <xf numFmtId="0" fontId="3" fillId="0" borderId="1" xfId="0" applyFont="1" applyBorder="1" applyAlignment="1">
      <alignment horizontal="left" vertical="top" wrapText="1" indent="3"/>
    </xf>
    <xf numFmtId="0" fontId="2" fillId="0" borderId="1" xfId="0" applyFont="1" applyBorder="1" applyAlignment="1">
      <alignment horizontal="centerContinuous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vertical="top"/>
    </xf>
    <xf numFmtId="0" fontId="2" fillId="0" borderId="1" xfId="0" applyFont="1" applyBorder="1" applyAlignment="1">
      <alignment horizontal="centerContinuous" vertical="top" wrapText="1"/>
    </xf>
    <xf numFmtId="0" fontId="2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 indent="3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indent="2"/>
    </xf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0" xfId="0" applyFont="1" applyFill="1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Приложения к решению о бюджете на 2014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2024%20&#1075;&#1086;&#1076;/2_&#1040;&#1083;&#1084;&#1086;&#1079;&#1077;&#1088;&#1089;&#1082;&#1086;&#1077;/_&#1087;&#1088;&#1080;&#1083;&#1086;&#1078;&#1077;&#1085;&#1080;&#1103;%20&#1082;%20&#1088;&#1077;&#1096;&#1077;&#1085;&#1080;&#1102;%202024-2026%20&#1040;&#1083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2">
          <cell r="A2" t="str">
            <v>НА 2024 ГОД И ПЛАНОВЫЙ ПЕРИОД 2025 И 2026 ГОДОВ</v>
          </cell>
        </row>
        <row r="9">
          <cell r="A9" t="str">
            <v>2024 год</v>
          </cell>
          <cell r="B9" t="str">
            <v>2025 год</v>
          </cell>
          <cell r="C9" t="str">
            <v>2026 год</v>
          </cell>
        </row>
      </sheetData>
      <sheetData sheetId="1">
        <row r="6">
          <cell r="F6" t="str">
            <v>к решению Совета сельского поселения</v>
          </cell>
        </row>
      </sheetData>
      <sheetData sheetId="2"/>
      <sheetData sheetId="3">
        <row r="24">
          <cell r="E24">
            <v>4.2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zoomScale="90" zoomScaleNormal="90" workbookViewId="0">
      <selection activeCell="A3" sqref="A3"/>
    </sheetView>
  </sheetViews>
  <sheetFormatPr defaultColWidth="9.140625" defaultRowHeight="15.75"/>
  <cols>
    <col min="1" max="16384" width="9.140625" style="1"/>
  </cols>
  <sheetData>
    <row r="2" spans="1:3">
      <c r="A2" s="1" t="s">
        <v>386</v>
      </c>
    </row>
    <row r="4" spans="1:3">
      <c r="A4" s="1" t="s">
        <v>338</v>
      </c>
    </row>
    <row r="6" spans="1:3">
      <c r="A6" s="1" t="s">
        <v>346</v>
      </c>
    </row>
    <row r="9" spans="1:3">
      <c r="A9" s="27" t="s">
        <v>9</v>
      </c>
      <c r="B9" s="27" t="s">
        <v>10</v>
      </c>
      <c r="C9" s="27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topLeftCell="B1" zoomScale="90" zoomScaleNormal="90" zoomScaleSheetLayoutView="90" workbookViewId="0">
      <selection activeCell="C13" sqref="C13"/>
    </sheetView>
  </sheetViews>
  <sheetFormatPr defaultColWidth="9.140625" defaultRowHeight="15.75"/>
  <cols>
    <col min="1" max="1" width="28.7109375" style="1" hidden="1" customWidth="1"/>
    <col min="2" max="2" width="28.7109375" style="1" customWidth="1"/>
    <col min="3" max="3" width="49.7109375" style="1" customWidth="1"/>
    <col min="4" max="6" width="15.28515625" style="1" customWidth="1"/>
    <col min="7" max="16384" width="9.140625" style="1"/>
  </cols>
  <sheetData>
    <row r="1" spans="2:6">
      <c r="F1" s="2" t="s">
        <v>0</v>
      </c>
    </row>
    <row r="2" spans="2:6">
      <c r="F2" s="2" t="s">
        <v>1</v>
      </c>
    </row>
    <row r="3" spans="2:6">
      <c r="F3" s="2" t="s">
        <v>2</v>
      </c>
    </row>
    <row r="4" spans="2:6">
      <c r="F4" s="2" t="s">
        <v>457</v>
      </c>
    </row>
    <row r="6" spans="2:6">
      <c r="F6" s="2" t="s">
        <v>0</v>
      </c>
    </row>
    <row r="7" spans="2:6">
      <c r="F7" s="2" t="s">
        <v>1</v>
      </c>
    </row>
    <row r="8" spans="2:6">
      <c r="F8" s="2" t="s">
        <v>2</v>
      </c>
    </row>
    <row r="9" spans="2:6">
      <c r="F9" s="2" t="s">
        <v>3</v>
      </c>
    </row>
    <row r="10" spans="2:6">
      <c r="F10" s="2" t="s">
        <v>393</v>
      </c>
    </row>
    <row r="11" spans="2:6">
      <c r="F11" s="2" t="s">
        <v>425</v>
      </c>
    </row>
    <row r="13" spans="2:6">
      <c r="B13" s="3" t="s">
        <v>4</v>
      </c>
      <c r="C13" s="4"/>
      <c r="D13" s="4"/>
      <c r="E13" s="4"/>
      <c r="F13" s="4"/>
    </row>
    <row r="14" spans="2:6">
      <c r="B14" s="3" t="s">
        <v>5</v>
      </c>
      <c r="C14" s="4"/>
      <c r="D14" s="4"/>
      <c r="E14" s="4"/>
      <c r="F14" s="4"/>
    </row>
    <row r="15" spans="2:6">
      <c r="B15" s="3" t="s">
        <v>6</v>
      </c>
      <c r="C15" s="4"/>
      <c r="D15" s="4"/>
      <c r="E15" s="4"/>
      <c r="F15" s="4"/>
    </row>
    <row r="16" spans="2:6">
      <c r="B16" s="3" t="str">
        <f>справочник!A2</f>
        <v>НА 2024 ГОД И ПЛАНОВЫЙ ПЕРИОД 2025 И 2026 ГОДОВ</v>
      </c>
      <c r="C16" s="4"/>
      <c r="D16" s="4"/>
      <c r="E16" s="4"/>
      <c r="F16" s="4"/>
    </row>
    <row r="18" spans="2:6">
      <c r="F18" s="2" t="s">
        <v>7</v>
      </c>
    </row>
    <row r="19" spans="2:6" ht="15.75" customHeight="1">
      <c r="B19" s="73" t="s">
        <v>11</v>
      </c>
      <c r="C19" s="72" t="s">
        <v>12</v>
      </c>
      <c r="D19" s="37" t="s">
        <v>8</v>
      </c>
      <c r="E19" s="36"/>
      <c r="F19" s="36"/>
    </row>
    <row r="20" spans="2:6" ht="94.5" customHeight="1">
      <c r="B20" s="73"/>
      <c r="C20" s="72"/>
      <c r="D20" s="27" t="str">
        <f>справочник!A9</f>
        <v>2024 год</v>
      </c>
      <c r="E20" s="27" t="str">
        <f>справочник!B9</f>
        <v>2025 год</v>
      </c>
      <c r="F20" s="27" t="str">
        <f>справочник!C9</f>
        <v>2026 год</v>
      </c>
    </row>
    <row r="21" spans="2:6">
      <c r="B21" s="5">
        <v>1</v>
      </c>
      <c r="C21" s="5">
        <v>2</v>
      </c>
      <c r="D21" s="5">
        <v>3</v>
      </c>
      <c r="E21" s="5">
        <v>4</v>
      </c>
      <c r="F21" s="5">
        <v>5</v>
      </c>
    </row>
    <row r="22" spans="2:6" ht="31.5">
      <c r="B22" s="8" t="s">
        <v>13</v>
      </c>
      <c r="C22" s="6" t="s">
        <v>18</v>
      </c>
      <c r="D22" s="7">
        <f>SUM(D23,D25)</f>
        <v>40785.772999999986</v>
      </c>
      <c r="E22" s="7">
        <f t="shared" ref="E22:F22" si="0">SUM(E23,E25)</f>
        <v>0</v>
      </c>
      <c r="F22" s="7">
        <f t="shared" si="0"/>
        <v>0</v>
      </c>
    </row>
    <row r="23" spans="2:6">
      <c r="B23" s="8" t="s">
        <v>14</v>
      </c>
      <c r="C23" s="6" t="s">
        <v>21</v>
      </c>
      <c r="D23" s="7">
        <f>D24</f>
        <v>-213338.40000000002</v>
      </c>
      <c r="E23" s="7">
        <f t="shared" ref="E23:F23" si="1">E24</f>
        <v>-62465.599999999999</v>
      </c>
      <c r="F23" s="7">
        <f t="shared" si="1"/>
        <v>-66786.100000000006</v>
      </c>
    </row>
    <row r="24" spans="2:6" ht="31.5">
      <c r="B24" s="8" t="s">
        <v>15</v>
      </c>
      <c r="C24" s="6" t="s">
        <v>19</v>
      </c>
      <c r="D24" s="7">
        <f>-'2'!D61</f>
        <v>-213338.40000000002</v>
      </c>
      <c r="E24" s="7">
        <f>-'2'!E61</f>
        <v>-62465.599999999999</v>
      </c>
      <c r="F24" s="7">
        <f>-'2'!F61</f>
        <v>-66786.100000000006</v>
      </c>
    </row>
    <row r="25" spans="2:6">
      <c r="B25" s="8" t="s">
        <v>16</v>
      </c>
      <c r="C25" s="6" t="s">
        <v>22</v>
      </c>
      <c r="D25" s="7">
        <f>D26</f>
        <v>254124.17300000001</v>
      </c>
      <c r="E25" s="7">
        <f t="shared" ref="E25:F25" si="2">E26</f>
        <v>62465.600000000006</v>
      </c>
      <c r="F25" s="7">
        <f t="shared" si="2"/>
        <v>66786.100000000006</v>
      </c>
    </row>
    <row r="26" spans="2:6" ht="31.5">
      <c r="B26" s="8" t="s">
        <v>17</v>
      </c>
      <c r="C26" s="6" t="s">
        <v>20</v>
      </c>
      <c r="D26" s="7">
        <f>'3'!E78</f>
        <v>254124.17300000001</v>
      </c>
      <c r="E26" s="7">
        <f>'3'!F78</f>
        <v>62465.600000000006</v>
      </c>
      <c r="F26" s="7">
        <f>'3'!G78</f>
        <v>66786.100000000006</v>
      </c>
    </row>
  </sheetData>
  <mergeCells count="2">
    <mergeCell ref="C19:C20"/>
    <mergeCell ref="B19:B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view="pageBreakPreview" topLeftCell="B1" zoomScale="90" zoomScaleNormal="90" zoomScaleSheetLayoutView="90" workbookViewId="0">
      <selection activeCell="F4" sqref="F4"/>
    </sheetView>
  </sheetViews>
  <sheetFormatPr defaultColWidth="9.140625" defaultRowHeight="15.75"/>
  <cols>
    <col min="1" max="1" width="28.7109375" style="1" hidden="1" customWidth="1"/>
    <col min="2" max="2" width="28.7109375" style="1" customWidth="1"/>
    <col min="3" max="3" width="49.7109375" style="1" customWidth="1"/>
    <col min="4" max="6" width="15.28515625" style="1" customWidth="1"/>
    <col min="7" max="16384" width="9.140625" style="1"/>
  </cols>
  <sheetData>
    <row r="1" spans="2:6">
      <c r="F1" s="2" t="s">
        <v>23</v>
      </c>
    </row>
    <row r="2" spans="2:6">
      <c r="F2" s="2" t="str">
        <f>'1'!F2</f>
        <v>к решению Городского Совета</v>
      </c>
    </row>
    <row r="3" spans="2:6">
      <c r="F3" s="2" t="str">
        <f>'1'!F3</f>
        <v>муниципального образования "Город Вытегра"</v>
      </c>
    </row>
    <row r="4" spans="2:6">
      <c r="F4" s="2" t="str">
        <f>'1'!F4</f>
        <v>от 17.10.2024 года № 115</v>
      </c>
    </row>
    <row r="6" spans="2:6">
      <c r="F6" s="2" t="s">
        <v>23</v>
      </c>
    </row>
    <row r="7" spans="2:6">
      <c r="F7" s="2" t="str">
        <f>'1'!F7</f>
        <v>к решению Городского Совета</v>
      </c>
    </row>
    <row r="8" spans="2:6">
      <c r="F8" s="2" t="str">
        <f>'1'!F8</f>
        <v>муниципального образования "Город Вытегра"</v>
      </c>
    </row>
    <row r="9" spans="2:6">
      <c r="F9" s="2" t="str">
        <f>'1'!F9</f>
        <v>"О бюджете муниципального образования "Город Вытегра"</v>
      </c>
    </row>
    <row r="10" spans="2:6">
      <c r="F10" s="2" t="str">
        <f>'1'!F10</f>
        <v>на 2024 год и плановый период 2025 и 2026 годов"</v>
      </c>
    </row>
    <row r="11" spans="2:6">
      <c r="F11" s="2" t="str">
        <f>'1'!F11</f>
        <v>от 14 декабря 2023 года № 78</v>
      </c>
    </row>
    <row r="13" spans="2:6">
      <c r="B13" s="3" t="s">
        <v>24</v>
      </c>
      <c r="C13" s="4"/>
      <c r="D13" s="4"/>
      <c r="E13" s="4"/>
      <c r="F13" s="4"/>
    </row>
    <row r="14" spans="2:6">
      <c r="B14" s="3" t="s">
        <v>25</v>
      </c>
      <c r="C14" s="4"/>
      <c r="D14" s="4"/>
      <c r="E14" s="4"/>
      <c r="F14" s="4"/>
    </row>
    <row r="15" spans="2:6">
      <c r="B15" s="3" t="s">
        <v>26</v>
      </c>
      <c r="C15" s="4"/>
      <c r="D15" s="4"/>
      <c r="E15" s="4"/>
      <c r="F15" s="4"/>
    </row>
    <row r="16" spans="2:6">
      <c r="B16" s="3" t="str">
        <f>справочник!A2</f>
        <v>НА 2024 ГОД И ПЛАНОВЫЙ ПЕРИОД 2025 И 2026 ГОДОВ</v>
      </c>
      <c r="C16" s="4"/>
      <c r="D16" s="4"/>
      <c r="E16" s="4"/>
      <c r="F16" s="4"/>
    </row>
    <row r="18" spans="2:7">
      <c r="F18" s="2" t="s">
        <v>7</v>
      </c>
    </row>
    <row r="19" spans="2:7">
      <c r="B19" s="73" t="s">
        <v>11</v>
      </c>
      <c r="C19" s="72" t="s">
        <v>27</v>
      </c>
      <c r="D19" s="36" t="s">
        <v>8</v>
      </c>
      <c r="E19" s="36"/>
      <c r="F19" s="36"/>
    </row>
    <row r="20" spans="2:7">
      <c r="B20" s="73"/>
      <c r="C20" s="72"/>
      <c r="D20" s="27" t="str">
        <f>'1'!D20</f>
        <v>2024 год</v>
      </c>
      <c r="E20" s="27" t="str">
        <f>'1'!E20</f>
        <v>2025 год</v>
      </c>
      <c r="F20" s="27" t="str">
        <f>'1'!F20</f>
        <v>2026 год</v>
      </c>
    </row>
    <row r="21" spans="2:7">
      <c r="B21" s="5">
        <v>1</v>
      </c>
      <c r="C21" s="5">
        <v>2</v>
      </c>
      <c r="D21" s="5">
        <v>3</v>
      </c>
      <c r="E21" s="5">
        <v>4</v>
      </c>
      <c r="F21" s="5">
        <v>5</v>
      </c>
    </row>
    <row r="22" spans="2:7">
      <c r="B22" s="8" t="s">
        <v>28</v>
      </c>
      <c r="C22" s="14" t="s">
        <v>29</v>
      </c>
      <c r="D22" s="7">
        <f>48815+2765.8</f>
        <v>51580.800000000003</v>
      </c>
      <c r="E22" s="7">
        <v>50972</v>
      </c>
      <c r="F22" s="7">
        <v>52854</v>
      </c>
      <c r="G22" s="10"/>
    </row>
    <row r="23" spans="2:7" hidden="1">
      <c r="B23" s="8" t="s">
        <v>77</v>
      </c>
      <c r="C23" s="13" t="s">
        <v>76</v>
      </c>
      <c r="D23" s="7">
        <f>D24</f>
        <v>29540</v>
      </c>
      <c r="E23" s="7"/>
      <c r="F23" s="7"/>
    </row>
    <row r="24" spans="2:7" hidden="1">
      <c r="B24" s="8" t="s">
        <v>31</v>
      </c>
      <c r="C24" s="13" t="s">
        <v>30</v>
      </c>
      <c r="D24" s="7">
        <f>SUM(D25:D26)</f>
        <v>29540</v>
      </c>
      <c r="E24" s="7"/>
      <c r="F24" s="7"/>
    </row>
    <row r="25" spans="2:7" ht="126" hidden="1" customHeight="1">
      <c r="B25" s="8" t="s">
        <v>32</v>
      </c>
      <c r="C25" s="13" t="s">
        <v>34</v>
      </c>
      <c r="D25" s="7">
        <v>29320</v>
      </c>
      <c r="E25" s="7"/>
      <c r="F25" s="7"/>
    </row>
    <row r="26" spans="2:7" ht="157.5" hidden="1" customHeight="1">
      <c r="B26" s="8" t="s">
        <v>33</v>
      </c>
      <c r="C26" s="13" t="s">
        <v>35</v>
      </c>
      <c r="D26" s="7">
        <v>220</v>
      </c>
      <c r="E26" s="7"/>
      <c r="F26" s="7"/>
    </row>
    <row r="27" spans="2:7" ht="47.25" hidden="1">
      <c r="B27" s="8" t="s">
        <v>75</v>
      </c>
      <c r="C27" s="13" t="s">
        <v>74</v>
      </c>
      <c r="D27" s="7">
        <f>D28</f>
        <v>1921</v>
      </c>
      <c r="E27" s="7"/>
      <c r="F27" s="7"/>
    </row>
    <row r="28" spans="2:7" ht="47.25" hidden="1">
      <c r="B28" s="8" t="s">
        <v>36</v>
      </c>
      <c r="C28" s="13" t="s">
        <v>37</v>
      </c>
      <c r="D28" s="7">
        <f>SUM(D29:D31)</f>
        <v>1921</v>
      </c>
      <c r="E28" s="7"/>
      <c r="F28" s="7"/>
    </row>
    <row r="29" spans="2:7" ht="94.5" hidden="1">
      <c r="B29" s="8" t="s">
        <v>38</v>
      </c>
      <c r="C29" s="13" t="s">
        <v>41</v>
      </c>
      <c r="D29" s="7">
        <v>971</v>
      </c>
      <c r="E29" s="7"/>
      <c r="F29" s="7"/>
    </row>
    <row r="30" spans="2:7" ht="110.25" hidden="1" customHeight="1">
      <c r="B30" s="8" t="s">
        <v>39</v>
      </c>
      <c r="C30" s="13" t="s">
        <v>42</v>
      </c>
      <c r="D30" s="7">
        <v>6</v>
      </c>
      <c r="E30" s="7"/>
      <c r="F30" s="7"/>
    </row>
    <row r="31" spans="2:7" ht="110.25" hidden="1">
      <c r="B31" s="8" t="s">
        <v>40</v>
      </c>
      <c r="C31" s="13" t="s">
        <v>43</v>
      </c>
      <c r="D31" s="7">
        <v>944</v>
      </c>
      <c r="E31" s="7"/>
      <c r="F31" s="7"/>
    </row>
    <row r="32" spans="2:7" hidden="1">
      <c r="B32" s="8" t="s">
        <v>47</v>
      </c>
      <c r="C32" s="13" t="s">
        <v>46</v>
      </c>
      <c r="D32" s="7">
        <f>D33</f>
        <v>6</v>
      </c>
      <c r="E32" s="7"/>
      <c r="F32" s="7"/>
    </row>
    <row r="33" spans="2:6" hidden="1">
      <c r="B33" s="8" t="s">
        <v>44</v>
      </c>
      <c r="C33" s="13" t="s">
        <v>45</v>
      </c>
      <c r="D33" s="7">
        <v>6</v>
      </c>
      <c r="E33" s="7"/>
      <c r="F33" s="7"/>
    </row>
    <row r="34" spans="2:6" hidden="1">
      <c r="B34" s="8" t="s">
        <v>49</v>
      </c>
      <c r="C34" s="13" t="s">
        <v>48</v>
      </c>
      <c r="D34" s="7">
        <f>SUM(D35:D36)</f>
        <v>10029</v>
      </c>
      <c r="E34" s="7"/>
      <c r="F34" s="7"/>
    </row>
    <row r="35" spans="2:6" hidden="1">
      <c r="B35" s="8" t="s">
        <v>54</v>
      </c>
      <c r="C35" s="13" t="s">
        <v>50</v>
      </c>
      <c r="D35" s="7">
        <v>6515</v>
      </c>
      <c r="E35" s="7"/>
      <c r="F35" s="7"/>
    </row>
    <row r="36" spans="2:6" hidden="1">
      <c r="B36" s="8" t="s">
        <v>55</v>
      </c>
      <c r="C36" s="13" t="s">
        <v>51</v>
      </c>
      <c r="D36" s="7">
        <f>SUM(D37:D38)</f>
        <v>3514</v>
      </c>
      <c r="E36" s="7"/>
      <c r="F36" s="7"/>
    </row>
    <row r="37" spans="2:6" hidden="1">
      <c r="B37" s="8" t="s">
        <v>56</v>
      </c>
      <c r="C37" s="13" t="s">
        <v>52</v>
      </c>
      <c r="D37" s="7">
        <v>2249</v>
      </c>
      <c r="E37" s="7"/>
      <c r="F37" s="7"/>
    </row>
    <row r="38" spans="2:6" hidden="1">
      <c r="B38" s="8" t="s">
        <v>57</v>
      </c>
      <c r="C38" s="13" t="s">
        <v>53</v>
      </c>
      <c r="D38" s="7">
        <v>1265</v>
      </c>
      <c r="E38" s="7"/>
      <c r="F38" s="7"/>
    </row>
    <row r="39" spans="2:6" ht="47.25" hidden="1" customHeight="1">
      <c r="B39" s="8" t="s">
        <v>59</v>
      </c>
      <c r="C39" s="13" t="s">
        <v>58</v>
      </c>
      <c r="D39" s="7">
        <f>SUM(D40:D42)</f>
        <v>3559</v>
      </c>
      <c r="E39" s="7"/>
      <c r="F39" s="7"/>
    </row>
    <row r="40" spans="2:6" ht="94.5" hidden="1" customHeight="1">
      <c r="B40" s="8" t="s">
        <v>60</v>
      </c>
      <c r="C40" s="13" t="s">
        <v>63</v>
      </c>
      <c r="D40" s="7">
        <v>2272</v>
      </c>
      <c r="E40" s="7"/>
      <c r="F40" s="7"/>
    </row>
    <row r="41" spans="2:6" ht="94.5" hidden="1">
      <c r="B41" s="8" t="s">
        <v>61</v>
      </c>
      <c r="C41" s="13" t="s">
        <v>64</v>
      </c>
      <c r="D41" s="7">
        <v>206</v>
      </c>
      <c r="E41" s="7"/>
      <c r="F41" s="7"/>
    </row>
    <row r="42" spans="2:6" ht="94.5" hidden="1" customHeight="1">
      <c r="B42" s="8" t="s">
        <v>62</v>
      </c>
      <c r="C42" s="13" t="s">
        <v>65</v>
      </c>
      <c r="D42" s="7">
        <v>1081</v>
      </c>
      <c r="E42" s="7"/>
      <c r="F42" s="7"/>
    </row>
    <row r="43" spans="2:6" ht="47.25" hidden="1">
      <c r="B43" s="8" t="s">
        <v>68</v>
      </c>
      <c r="C43" s="13" t="s">
        <v>66</v>
      </c>
      <c r="D43" s="7">
        <f>D44</f>
        <v>100</v>
      </c>
      <c r="E43" s="7"/>
      <c r="F43" s="7"/>
    </row>
    <row r="44" spans="2:6" ht="31.5" hidden="1">
      <c r="B44" s="8" t="s">
        <v>69</v>
      </c>
      <c r="C44" s="13" t="s">
        <v>67</v>
      </c>
      <c r="D44" s="7">
        <v>100</v>
      </c>
      <c r="E44" s="7"/>
      <c r="F44" s="7"/>
    </row>
    <row r="45" spans="2:6" ht="31.5" hidden="1">
      <c r="B45" s="8" t="s">
        <v>72</v>
      </c>
      <c r="C45" s="13" t="s">
        <v>70</v>
      </c>
      <c r="D45" s="7">
        <f>D46</f>
        <v>524</v>
      </c>
      <c r="E45" s="7"/>
      <c r="F45" s="7"/>
    </row>
    <row r="46" spans="2:6" ht="63" hidden="1">
      <c r="B46" s="8" t="s">
        <v>73</v>
      </c>
      <c r="C46" s="13" t="s">
        <v>71</v>
      </c>
      <c r="D46" s="7">
        <v>524</v>
      </c>
      <c r="E46" s="7"/>
      <c r="F46" s="7"/>
    </row>
    <row r="47" spans="2:6">
      <c r="B47" s="8" t="s">
        <v>78</v>
      </c>
      <c r="C47" s="13" t="s">
        <v>79</v>
      </c>
      <c r="D47" s="15">
        <f>SUM(D48,D59)</f>
        <v>161757.6</v>
      </c>
      <c r="E47" s="15">
        <f t="shared" ref="E47:F47" si="0">SUM(E48,E59)</f>
        <v>11493.599999999999</v>
      </c>
      <c r="F47" s="15">
        <f t="shared" si="0"/>
        <v>13932.1</v>
      </c>
    </row>
    <row r="48" spans="2:6" ht="31.5" customHeight="1">
      <c r="B48" s="8" t="s">
        <v>80</v>
      </c>
      <c r="C48" s="13" t="s">
        <v>81</v>
      </c>
      <c r="D48" s="15">
        <f>SUM(D49,D52,D55,D57)</f>
        <v>161730</v>
      </c>
      <c r="E48" s="15">
        <f t="shared" ref="E48:F48" si="1">SUM(E49,E52,E55,E57)</f>
        <v>11493.599999999999</v>
      </c>
      <c r="F48" s="15">
        <f t="shared" si="1"/>
        <v>13932.1</v>
      </c>
    </row>
    <row r="49" spans="2:6" ht="31.5">
      <c r="B49" s="12" t="s">
        <v>82</v>
      </c>
      <c r="C49" s="13" t="s">
        <v>83</v>
      </c>
      <c r="D49" s="15">
        <f>SUM(D50:D51)</f>
        <v>22563.1</v>
      </c>
      <c r="E49" s="15">
        <f t="shared" ref="E49:F49" si="2">SUM(E50:E51)</f>
        <v>9526.2999999999993</v>
      </c>
      <c r="F49" s="15">
        <f t="shared" si="2"/>
        <v>10554.6</v>
      </c>
    </row>
    <row r="50" spans="2:6" ht="47.25">
      <c r="B50" s="8" t="s">
        <v>84</v>
      </c>
      <c r="C50" s="9" t="s">
        <v>85</v>
      </c>
      <c r="D50" s="7">
        <f>3518.8</f>
        <v>3518.8</v>
      </c>
      <c r="E50" s="7">
        <v>3658.5</v>
      </c>
      <c r="F50" s="7">
        <v>0</v>
      </c>
    </row>
    <row r="51" spans="2:6" ht="47.25">
      <c r="B51" s="8" t="s">
        <v>86</v>
      </c>
      <c r="C51" s="9" t="s">
        <v>87</v>
      </c>
      <c r="D51" s="7">
        <f>5400.5+7050+4970.8+1623</f>
        <v>19044.3</v>
      </c>
      <c r="E51" s="7">
        <v>5867.8</v>
      </c>
      <c r="F51" s="7">
        <v>10554.6</v>
      </c>
    </row>
    <row r="52" spans="2:6" ht="31.5" customHeight="1">
      <c r="B52" s="12" t="s">
        <v>88</v>
      </c>
      <c r="C52" s="13" t="s">
        <v>95</v>
      </c>
      <c r="D52" s="15">
        <f>SUM(D53:D54)</f>
        <v>114998.1</v>
      </c>
      <c r="E52" s="15">
        <f t="shared" ref="E52:F52" si="3">SUM(E53:E54)</f>
        <v>1965.3</v>
      </c>
      <c r="F52" s="15">
        <f t="shared" si="3"/>
        <v>3375.5</v>
      </c>
    </row>
    <row r="53" spans="2:6" ht="47.25" customHeight="1">
      <c r="B53" s="8" t="s">
        <v>101</v>
      </c>
      <c r="C53" s="9" t="s">
        <v>89</v>
      </c>
      <c r="D53" s="7">
        <v>78839</v>
      </c>
      <c r="E53" s="7">
        <v>0</v>
      </c>
      <c r="F53" s="7">
        <v>0</v>
      </c>
    </row>
    <row r="54" spans="2:6">
      <c r="B54" s="8" t="s">
        <v>90</v>
      </c>
      <c r="C54" s="11" t="s">
        <v>382</v>
      </c>
      <c r="D54" s="7">
        <f>2115.4+33289.2+321.4+739.7-306.6</f>
        <v>36159.1</v>
      </c>
      <c r="E54" s="7">
        <f>1410.2+1965.3-1410.2</f>
        <v>1965.3</v>
      </c>
      <c r="F54" s="7">
        <f>1410.2+1965.3</f>
        <v>3375.5</v>
      </c>
    </row>
    <row r="55" spans="2:6" ht="31.5">
      <c r="B55" s="12" t="s">
        <v>91</v>
      </c>
      <c r="C55" s="13" t="s">
        <v>92</v>
      </c>
      <c r="D55" s="15">
        <f>D56</f>
        <v>2</v>
      </c>
      <c r="E55" s="15">
        <f>E56</f>
        <v>2</v>
      </c>
      <c r="F55" s="15">
        <f>F56</f>
        <v>2</v>
      </c>
    </row>
    <row r="56" spans="2:6" ht="31.5">
      <c r="B56" s="8" t="s">
        <v>93</v>
      </c>
      <c r="C56" s="9" t="s">
        <v>94</v>
      </c>
      <c r="D56" s="7">
        <v>2</v>
      </c>
      <c r="E56" s="7">
        <v>2</v>
      </c>
      <c r="F56" s="7">
        <v>2</v>
      </c>
    </row>
    <row r="57" spans="2:6" ht="31.5">
      <c r="B57" s="68" t="s">
        <v>432</v>
      </c>
      <c r="C57" s="66" t="s">
        <v>433</v>
      </c>
      <c r="D57" s="15">
        <f>D58</f>
        <v>24166.799999999999</v>
      </c>
      <c r="E57" s="15">
        <f t="shared" ref="E57:F57" si="4">E58</f>
        <v>0</v>
      </c>
      <c r="F57" s="15">
        <f t="shared" si="4"/>
        <v>0</v>
      </c>
    </row>
    <row r="58" spans="2:6" ht="47.25">
      <c r="B58" s="65" t="s">
        <v>434</v>
      </c>
      <c r="C58" s="67" t="s">
        <v>435</v>
      </c>
      <c r="D58" s="7">
        <f>722.3+23300+144.5</f>
        <v>24166.799999999999</v>
      </c>
      <c r="E58" s="7">
        <v>0</v>
      </c>
      <c r="F58" s="7">
        <v>0</v>
      </c>
    </row>
    <row r="59" spans="2:6">
      <c r="B59" s="12" t="s">
        <v>97</v>
      </c>
      <c r="C59" s="13" t="s">
        <v>98</v>
      </c>
      <c r="D59" s="15">
        <f>D60</f>
        <v>27.599999999999994</v>
      </c>
      <c r="E59" s="15">
        <f t="shared" ref="E59:F59" si="5">E60</f>
        <v>0</v>
      </c>
      <c r="F59" s="15">
        <f t="shared" si="5"/>
        <v>0</v>
      </c>
    </row>
    <row r="60" spans="2:6" ht="63">
      <c r="B60" s="8" t="s">
        <v>99</v>
      </c>
      <c r="C60" s="9" t="s">
        <v>100</v>
      </c>
      <c r="D60" s="7">
        <f>144.5+27.6-144.5</f>
        <v>27.599999999999994</v>
      </c>
      <c r="E60" s="7">
        <v>0</v>
      </c>
      <c r="F60" s="7">
        <v>0</v>
      </c>
    </row>
    <row r="61" spans="2:6">
      <c r="B61" s="12" t="s">
        <v>102</v>
      </c>
      <c r="C61" s="9"/>
      <c r="D61" s="15">
        <f>SUM(D22,D47)</f>
        <v>213338.40000000002</v>
      </c>
      <c r="E61" s="15">
        <f t="shared" ref="E61:F61" si="6">SUM(E22,E47)</f>
        <v>62465.599999999999</v>
      </c>
      <c r="F61" s="15">
        <f t="shared" si="6"/>
        <v>66786.100000000006</v>
      </c>
    </row>
  </sheetData>
  <mergeCells count="2">
    <mergeCell ref="B19:B20"/>
    <mergeCell ref="C19:C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"/>
  <sheetViews>
    <sheetView view="pageBreakPreview" topLeftCell="B64" zoomScale="90" zoomScaleNormal="90" zoomScaleSheetLayoutView="90" workbookViewId="0">
      <selection activeCell="B45" sqref="B45"/>
    </sheetView>
  </sheetViews>
  <sheetFormatPr defaultColWidth="9.140625" defaultRowHeight="15.75"/>
  <cols>
    <col min="1" max="1" width="28.7109375" style="1" hidden="1" customWidth="1"/>
    <col min="2" max="2" width="64.28515625" style="1" customWidth="1"/>
    <col min="3" max="4" width="7.42578125" style="1" customWidth="1"/>
    <col min="5" max="7" width="15.28515625" style="1" customWidth="1"/>
    <col min="8" max="16384" width="9.140625" style="1"/>
  </cols>
  <sheetData>
    <row r="1" spans="2:7">
      <c r="G1" s="2" t="s">
        <v>103</v>
      </c>
    </row>
    <row r="2" spans="2:7">
      <c r="G2" s="2" t="str">
        <f>'1'!F2</f>
        <v>к решению Городского Совета</v>
      </c>
    </row>
    <row r="3" spans="2:7">
      <c r="G3" s="2" t="str">
        <f>'1'!F3</f>
        <v>муниципального образования "Город Вытегра"</v>
      </c>
    </row>
    <row r="4" spans="2:7">
      <c r="G4" s="2" t="str">
        <f>'1'!F4</f>
        <v>от 17.10.2024 года № 115</v>
      </c>
    </row>
    <row r="6" spans="2:7">
      <c r="G6" s="2" t="s">
        <v>103</v>
      </c>
    </row>
    <row r="7" spans="2:7">
      <c r="G7" s="2" t="str">
        <f>'1'!F7</f>
        <v>к решению Городского Совета</v>
      </c>
    </row>
    <row r="8" spans="2:7">
      <c r="G8" s="2" t="str">
        <f>'1'!F8</f>
        <v>муниципального образования "Город Вытегра"</v>
      </c>
    </row>
    <row r="9" spans="2:7">
      <c r="G9" s="2" t="str">
        <f>'1'!F9</f>
        <v>"О бюджете муниципального образования "Город Вытегра"</v>
      </c>
    </row>
    <row r="10" spans="2:7">
      <c r="G10" s="2" t="str">
        <f>'1'!F10</f>
        <v>на 2024 год и плановый период 2025 и 2026 годов"</v>
      </c>
    </row>
    <row r="11" spans="2:7">
      <c r="G11" s="2" t="str">
        <f>'1'!F11</f>
        <v>от 14 декабря 2023 года № 78</v>
      </c>
    </row>
    <row r="13" spans="2:7">
      <c r="B13" s="3" t="s">
        <v>104</v>
      </c>
      <c r="C13" s="3"/>
      <c r="D13" s="4"/>
      <c r="E13" s="4"/>
      <c r="F13" s="4"/>
      <c r="G13" s="4"/>
    </row>
    <row r="14" spans="2:7">
      <c r="B14" s="3" t="s">
        <v>105</v>
      </c>
      <c r="C14" s="3"/>
      <c r="D14" s="4"/>
      <c r="E14" s="4"/>
      <c r="F14" s="4"/>
      <c r="G14" s="4"/>
    </row>
    <row r="15" spans="2:7">
      <c r="B15" s="3" t="str">
        <f>справочник!A2</f>
        <v>НА 2024 ГОД И ПЛАНОВЫЙ ПЕРИОД 2025 И 2026 ГОДОВ</v>
      </c>
      <c r="C15" s="3"/>
      <c r="D15" s="4"/>
      <c r="E15" s="4"/>
      <c r="F15" s="4"/>
      <c r="G15" s="4"/>
    </row>
    <row r="16" spans="2:7">
      <c r="B16" s="3"/>
      <c r="C16" s="3"/>
      <c r="D16" s="4"/>
      <c r="E16" s="4"/>
      <c r="F16" s="4"/>
      <c r="G16" s="4"/>
    </row>
    <row r="17" spans="2:8">
      <c r="G17" s="2" t="s">
        <v>7</v>
      </c>
    </row>
    <row r="18" spans="2:8">
      <c r="B18" s="73" t="s">
        <v>107</v>
      </c>
      <c r="C18" s="72" t="s">
        <v>365</v>
      </c>
      <c r="D18" s="72" t="s">
        <v>341</v>
      </c>
      <c r="E18" s="36" t="s">
        <v>106</v>
      </c>
      <c r="F18" s="36"/>
      <c r="G18" s="36"/>
    </row>
    <row r="19" spans="2:8">
      <c r="B19" s="73"/>
      <c r="C19" s="72"/>
      <c r="D19" s="72"/>
      <c r="E19" s="27" t="str">
        <f>'1'!D20</f>
        <v>2024 год</v>
      </c>
      <c r="F19" s="27" t="str">
        <f>'1'!E20</f>
        <v>2025 год</v>
      </c>
      <c r="G19" s="27" t="str">
        <f>'1'!F20</f>
        <v>2026 год</v>
      </c>
    </row>
    <row r="20" spans="2:8"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</row>
    <row r="21" spans="2:8">
      <c r="B21" s="18" t="s">
        <v>108</v>
      </c>
      <c r="C21" s="17" t="s">
        <v>143</v>
      </c>
      <c r="D21" s="17"/>
      <c r="E21" s="15">
        <f>SUM(E22:E23,E32,E37:E38)</f>
        <v>27742.972999999998</v>
      </c>
      <c r="F21" s="15">
        <f t="shared" ref="F21:G21" si="0">SUM(F22:F23,F32,F37:F38)</f>
        <v>14940.4</v>
      </c>
      <c r="G21" s="15">
        <f t="shared" si="0"/>
        <v>14940.4</v>
      </c>
      <c r="H21" s="10"/>
    </row>
    <row r="22" spans="2:8" ht="47.25">
      <c r="B22" s="20" t="s">
        <v>109</v>
      </c>
      <c r="C22" s="17" t="s">
        <v>143</v>
      </c>
      <c r="D22" s="17" t="s">
        <v>144</v>
      </c>
      <c r="E22" s="7">
        <f>'4'!G24</f>
        <v>1163.4000000000001</v>
      </c>
      <c r="F22" s="7">
        <f>'4'!H24</f>
        <v>1134.2</v>
      </c>
      <c r="G22" s="7">
        <f>'4'!I24</f>
        <v>1134.2</v>
      </c>
      <c r="H22" s="10"/>
    </row>
    <row r="23" spans="2:8" ht="47.25">
      <c r="B23" s="20" t="s">
        <v>110</v>
      </c>
      <c r="C23" s="17" t="s">
        <v>143</v>
      </c>
      <c r="D23" s="17" t="s">
        <v>145</v>
      </c>
      <c r="E23" s="7">
        <f>'4'!G33</f>
        <v>11757.9</v>
      </c>
      <c r="F23" s="7">
        <f>'4'!H33</f>
        <v>11344.9</v>
      </c>
      <c r="G23" s="7">
        <f>'4'!I33</f>
        <v>11344.9</v>
      </c>
      <c r="H23" s="10"/>
    </row>
    <row r="24" spans="2:8">
      <c r="B24" s="22" t="s">
        <v>111</v>
      </c>
      <c r="C24" s="17"/>
      <c r="D24" s="17"/>
      <c r="E24" s="7"/>
      <c r="F24" s="7"/>
      <c r="G24" s="7"/>
      <c r="H24" s="10"/>
    </row>
    <row r="25" spans="2:8" s="33" customFormat="1">
      <c r="B25" s="23" t="s">
        <v>112</v>
      </c>
      <c r="C25" s="31" t="s">
        <v>143</v>
      </c>
      <c r="D25" s="31" t="s">
        <v>145</v>
      </c>
      <c r="E25" s="30">
        <f>SUM(E26:E31)</f>
        <v>1253.3</v>
      </c>
      <c r="F25" s="30">
        <f t="shared" ref="F25:G25" si="1">SUM(F26:F31)</f>
        <v>749</v>
      </c>
      <c r="G25" s="30">
        <f t="shared" si="1"/>
        <v>749</v>
      </c>
      <c r="H25" s="32"/>
    </row>
    <row r="26" spans="2:8" s="33" customFormat="1" ht="31.5">
      <c r="B26" s="24" t="s">
        <v>113</v>
      </c>
      <c r="C26" s="31" t="s">
        <v>143</v>
      </c>
      <c r="D26" s="31" t="s">
        <v>145</v>
      </c>
      <c r="E26" s="30">
        <f>'4'!G38</f>
        <v>435.5</v>
      </c>
      <c r="F26" s="30">
        <f>'4'!H38</f>
        <v>435.5</v>
      </c>
      <c r="G26" s="30">
        <f>'4'!I38</f>
        <v>435.5</v>
      </c>
      <c r="H26" s="32"/>
    </row>
    <row r="27" spans="2:8" s="33" customFormat="1" ht="31.5">
      <c r="B27" s="24" t="s">
        <v>160</v>
      </c>
      <c r="C27" s="31" t="s">
        <v>143</v>
      </c>
      <c r="D27" s="31" t="s">
        <v>145</v>
      </c>
      <c r="E27" s="30">
        <f>'4'!G41</f>
        <v>65.400000000000006</v>
      </c>
      <c r="F27" s="30">
        <f>'4'!H41</f>
        <v>65.400000000000006</v>
      </c>
      <c r="G27" s="30">
        <f>'4'!I41</f>
        <v>65.400000000000006</v>
      </c>
      <c r="H27" s="32"/>
    </row>
    <row r="28" spans="2:8" s="33" customFormat="1" ht="63">
      <c r="B28" s="24" t="s">
        <v>157</v>
      </c>
      <c r="C28" s="31" t="s">
        <v>143</v>
      </c>
      <c r="D28" s="31" t="s">
        <v>145</v>
      </c>
      <c r="E28" s="30">
        <f>'4'!G44</f>
        <v>142.30000000000001</v>
      </c>
      <c r="F28" s="30">
        <f>'4'!H44</f>
        <v>142.30000000000001</v>
      </c>
      <c r="G28" s="30">
        <f>'4'!I44</f>
        <v>142.30000000000001</v>
      </c>
      <c r="H28" s="32"/>
    </row>
    <row r="29" spans="2:8" s="33" customFormat="1" ht="31.5">
      <c r="B29" s="24" t="s">
        <v>115</v>
      </c>
      <c r="C29" s="31" t="s">
        <v>143</v>
      </c>
      <c r="D29" s="31" t="s">
        <v>145</v>
      </c>
      <c r="E29" s="30">
        <f>'4'!G47</f>
        <v>60.5</v>
      </c>
      <c r="F29" s="30">
        <f>'4'!H47</f>
        <v>60.5</v>
      </c>
      <c r="G29" s="30">
        <f>'4'!I47</f>
        <v>60.5</v>
      </c>
      <c r="H29" s="32"/>
    </row>
    <row r="30" spans="2:8" s="33" customFormat="1" ht="31.5">
      <c r="B30" s="24" t="s">
        <v>114</v>
      </c>
      <c r="C30" s="31" t="s">
        <v>143</v>
      </c>
      <c r="D30" s="31" t="s">
        <v>145</v>
      </c>
      <c r="E30" s="30">
        <f>'4'!G50</f>
        <v>45.3</v>
      </c>
      <c r="F30" s="30">
        <f>'4'!H50</f>
        <v>45.3</v>
      </c>
      <c r="G30" s="30">
        <f>'4'!I50</f>
        <v>45.3</v>
      </c>
      <c r="H30" s="32"/>
    </row>
    <row r="31" spans="2:8" s="33" customFormat="1" ht="47.25">
      <c r="B31" s="50" t="s">
        <v>387</v>
      </c>
      <c r="C31" s="31" t="s">
        <v>143</v>
      </c>
      <c r="D31" s="31" t="s">
        <v>145</v>
      </c>
      <c r="E31" s="30">
        <f>'4'!G53</f>
        <v>504.3</v>
      </c>
      <c r="F31" s="30">
        <v>0</v>
      </c>
      <c r="G31" s="30">
        <v>0</v>
      </c>
      <c r="H31" s="32"/>
    </row>
    <row r="32" spans="2:8" ht="47.25">
      <c r="B32" s="20" t="s">
        <v>116</v>
      </c>
      <c r="C32" s="17" t="s">
        <v>143</v>
      </c>
      <c r="D32" s="17" t="s">
        <v>146</v>
      </c>
      <c r="E32" s="7">
        <f>'4'!G61</f>
        <v>711.4</v>
      </c>
      <c r="F32" s="7">
        <f>'4'!H61</f>
        <v>711.4</v>
      </c>
      <c r="G32" s="7">
        <f>'4'!I61</f>
        <v>711.4</v>
      </c>
      <c r="H32" s="10"/>
    </row>
    <row r="33" spans="2:8">
      <c r="B33" s="22" t="s">
        <v>111</v>
      </c>
      <c r="C33" s="17"/>
      <c r="D33" s="17"/>
      <c r="E33" s="7"/>
      <c r="F33" s="7"/>
      <c r="G33" s="7"/>
      <c r="H33" s="10"/>
    </row>
    <row r="34" spans="2:8" s="33" customFormat="1">
      <c r="B34" s="23" t="s">
        <v>112</v>
      </c>
      <c r="C34" s="31" t="s">
        <v>143</v>
      </c>
      <c r="D34" s="31" t="s">
        <v>146</v>
      </c>
      <c r="E34" s="30">
        <f>SUM(E35:E36)</f>
        <v>711.4</v>
      </c>
      <c r="F34" s="30">
        <f t="shared" ref="F34:G34" si="2">SUM(F35:F36)</f>
        <v>711.4</v>
      </c>
      <c r="G34" s="30">
        <f t="shared" si="2"/>
        <v>711.4</v>
      </c>
      <c r="H34" s="32"/>
    </row>
    <row r="35" spans="2:8" s="33" customFormat="1" ht="78.75">
      <c r="B35" s="24" t="s">
        <v>339</v>
      </c>
      <c r="C35" s="31" t="s">
        <v>143</v>
      </c>
      <c r="D35" s="31" t="s">
        <v>146</v>
      </c>
      <c r="E35" s="30">
        <f>'4'!G63</f>
        <v>345</v>
      </c>
      <c r="F35" s="30">
        <f>'4'!H63</f>
        <v>345</v>
      </c>
      <c r="G35" s="30">
        <f>'4'!I63</f>
        <v>345</v>
      </c>
      <c r="H35" s="32"/>
    </row>
    <row r="36" spans="2:8" s="33" customFormat="1" ht="31.5">
      <c r="B36" s="24" t="s">
        <v>118</v>
      </c>
      <c r="C36" s="31" t="s">
        <v>143</v>
      </c>
      <c r="D36" s="31" t="s">
        <v>146</v>
      </c>
      <c r="E36" s="30">
        <f>'4'!G66</f>
        <v>366.4</v>
      </c>
      <c r="F36" s="30">
        <f>'4'!H66</f>
        <v>366.4</v>
      </c>
      <c r="G36" s="30">
        <f>'4'!I66</f>
        <v>366.4</v>
      </c>
      <c r="H36" s="32"/>
    </row>
    <row r="37" spans="2:8">
      <c r="B37" s="16" t="s">
        <v>119</v>
      </c>
      <c r="C37" s="17" t="s">
        <v>143</v>
      </c>
      <c r="D37" s="17" t="s">
        <v>147</v>
      </c>
      <c r="E37" s="7">
        <f>'4'!G69</f>
        <v>100</v>
      </c>
      <c r="F37" s="7">
        <f>'4'!H69</f>
        <v>500</v>
      </c>
      <c r="G37" s="7">
        <f>'4'!I69</f>
        <v>500</v>
      </c>
      <c r="H37" s="10"/>
    </row>
    <row r="38" spans="2:8">
      <c r="B38" s="16" t="s">
        <v>120</v>
      </c>
      <c r="C38" s="17" t="s">
        <v>143</v>
      </c>
      <c r="D38" s="17" t="s">
        <v>148</v>
      </c>
      <c r="E38" s="7">
        <f>'4'!G73</f>
        <v>14010.273000000001</v>
      </c>
      <c r="F38" s="7">
        <f>'4'!H73</f>
        <v>1249.9000000000001</v>
      </c>
      <c r="G38" s="7">
        <f>'4'!I73</f>
        <v>1249.9000000000001</v>
      </c>
      <c r="H38" s="10"/>
    </row>
    <row r="39" spans="2:8" ht="31.5">
      <c r="B39" s="21" t="s">
        <v>121</v>
      </c>
      <c r="C39" s="17" t="s">
        <v>144</v>
      </c>
      <c r="D39" s="17"/>
      <c r="E39" s="15">
        <f>E40+E41</f>
        <v>1030</v>
      </c>
      <c r="F39" s="15">
        <f t="shared" ref="F39:G39" si="3">F40+F41</f>
        <v>1250</v>
      </c>
      <c r="G39" s="15">
        <f t="shared" si="3"/>
        <v>1250</v>
      </c>
      <c r="H39" s="10"/>
    </row>
    <row r="40" spans="2:8" ht="31.5">
      <c r="B40" s="20" t="s">
        <v>122</v>
      </c>
      <c r="C40" s="17" t="s">
        <v>144</v>
      </c>
      <c r="D40" s="17" t="s">
        <v>149</v>
      </c>
      <c r="E40" s="7">
        <f>'4'!G87</f>
        <v>800</v>
      </c>
      <c r="F40" s="7">
        <f>'4'!H87</f>
        <v>1250</v>
      </c>
      <c r="G40" s="7">
        <f>'4'!I87</f>
        <v>1250</v>
      </c>
      <c r="H40" s="10"/>
    </row>
    <row r="41" spans="2:8" ht="31.5">
      <c r="B41" s="20" t="s">
        <v>389</v>
      </c>
      <c r="C41" s="17" t="s">
        <v>144</v>
      </c>
      <c r="D41" s="17" t="s">
        <v>388</v>
      </c>
      <c r="E41" s="7">
        <f>'4'!G93</f>
        <v>230</v>
      </c>
      <c r="F41" s="7">
        <f>'4'!H93</f>
        <v>0</v>
      </c>
      <c r="G41" s="7">
        <f>'4'!I93</f>
        <v>0</v>
      </c>
      <c r="H41" s="10"/>
    </row>
    <row r="42" spans="2:8">
      <c r="B42" s="18" t="s">
        <v>123</v>
      </c>
      <c r="C42" s="17" t="s">
        <v>145</v>
      </c>
      <c r="D42" s="17"/>
      <c r="E42" s="15">
        <f>SUM(E43:E46)</f>
        <v>31902.5</v>
      </c>
      <c r="F42" s="15">
        <f t="shared" ref="F42:G42" si="4">SUM(F43:F46)</f>
        <v>8600</v>
      </c>
      <c r="G42" s="15">
        <f t="shared" si="4"/>
        <v>8600</v>
      </c>
      <c r="H42" s="10"/>
    </row>
    <row r="43" spans="2:8">
      <c r="B43" s="16" t="s">
        <v>126</v>
      </c>
      <c r="C43" s="17" t="s">
        <v>145</v>
      </c>
      <c r="D43" s="17" t="s">
        <v>152</v>
      </c>
      <c r="E43" s="7">
        <f>'4'!G100</f>
        <v>181.89999999999998</v>
      </c>
      <c r="F43" s="7">
        <f>'4'!H100</f>
        <v>0</v>
      </c>
      <c r="G43" s="7">
        <f>'4'!I100</f>
        <v>0</v>
      </c>
      <c r="H43" s="10"/>
    </row>
    <row r="44" spans="2:8">
      <c r="B44" s="16" t="s">
        <v>124</v>
      </c>
      <c r="C44" s="17" t="s">
        <v>145</v>
      </c>
      <c r="D44" s="17" t="s">
        <v>150</v>
      </c>
      <c r="E44" s="7">
        <f>'4'!G106</f>
        <v>1300</v>
      </c>
      <c r="F44" s="7">
        <f>'4'!H106</f>
        <v>1500</v>
      </c>
      <c r="G44" s="7">
        <f>'4'!I106</f>
        <v>1500</v>
      </c>
      <c r="H44" s="10"/>
    </row>
    <row r="45" spans="2:8">
      <c r="B45" s="16" t="s">
        <v>125</v>
      </c>
      <c r="C45" s="17" t="s">
        <v>145</v>
      </c>
      <c r="D45" s="17" t="s">
        <v>151</v>
      </c>
      <c r="E45" s="7">
        <f>'4'!G111</f>
        <v>30320.6</v>
      </c>
      <c r="F45" s="7">
        <f>'4'!H111</f>
        <v>7000</v>
      </c>
      <c r="G45" s="7">
        <f>'4'!I111</f>
        <v>7000</v>
      </c>
      <c r="H45" s="10"/>
    </row>
    <row r="46" spans="2:8">
      <c r="B46" s="16" t="s">
        <v>127</v>
      </c>
      <c r="C46" s="17" t="s">
        <v>145</v>
      </c>
      <c r="D46" s="17" t="s">
        <v>153</v>
      </c>
      <c r="E46" s="7">
        <f>'4'!G121</f>
        <v>100</v>
      </c>
      <c r="F46" s="7">
        <f>'4'!H121</f>
        <v>100</v>
      </c>
      <c r="G46" s="7">
        <f>'4'!I121</f>
        <v>100</v>
      </c>
      <c r="H46" s="10"/>
    </row>
    <row r="47" spans="2:8">
      <c r="B47" s="18" t="s">
        <v>128</v>
      </c>
      <c r="C47" s="17" t="s">
        <v>152</v>
      </c>
      <c r="D47" s="17"/>
      <c r="E47" s="15">
        <f>SUM(E48:E50)</f>
        <v>181373.2</v>
      </c>
      <c r="F47" s="15">
        <f t="shared" ref="F47:G47" si="5">SUM(F48:F50)</f>
        <v>24485.1</v>
      </c>
      <c r="G47" s="15">
        <f t="shared" si="5"/>
        <v>27147.7</v>
      </c>
      <c r="H47" s="10"/>
    </row>
    <row r="48" spans="2:8">
      <c r="B48" s="16" t="s">
        <v>129</v>
      </c>
      <c r="C48" s="17" t="s">
        <v>152</v>
      </c>
      <c r="D48" s="17" t="s">
        <v>143</v>
      </c>
      <c r="E48" s="7">
        <f>'4'!G126</f>
        <v>4368</v>
      </c>
      <c r="F48" s="7">
        <f>'4'!H126</f>
        <v>3868</v>
      </c>
      <c r="G48" s="7">
        <f>'4'!I126</f>
        <v>3868</v>
      </c>
      <c r="H48" s="10"/>
    </row>
    <row r="49" spans="2:8">
      <c r="B49" s="16" t="s">
        <v>130</v>
      </c>
      <c r="C49" s="17" t="s">
        <v>152</v>
      </c>
      <c r="D49" s="17" t="s">
        <v>154</v>
      </c>
      <c r="E49" s="7">
        <f>'4'!G135</f>
        <v>114263.6</v>
      </c>
      <c r="F49" s="7">
        <f>'4'!H135</f>
        <v>2580</v>
      </c>
      <c r="G49" s="7">
        <f>'4'!I135</f>
        <v>3080</v>
      </c>
      <c r="H49" s="10"/>
    </row>
    <row r="50" spans="2:8">
      <c r="B50" s="16" t="s">
        <v>131</v>
      </c>
      <c r="C50" s="17" t="s">
        <v>152</v>
      </c>
      <c r="D50" s="17" t="s">
        <v>144</v>
      </c>
      <c r="E50" s="7">
        <f>'4'!G166</f>
        <v>62741.600000000006</v>
      </c>
      <c r="F50" s="7">
        <f>'4'!H166</f>
        <v>18037.099999999999</v>
      </c>
      <c r="G50" s="7">
        <f>'4'!I166</f>
        <v>20199.7</v>
      </c>
      <c r="H50" s="10"/>
    </row>
    <row r="51" spans="2:8">
      <c r="B51" s="22" t="s">
        <v>111</v>
      </c>
      <c r="C51" s="17"/>
      <c r="D51" s="17"/>
      <c r="E51" s="7"/>
      <c r="F51" s="7"/>
      <c r="G51" s="7"/>
      <c r="H51" s="10"/>
    </row>
    <row r="52" spans="2:8" s="33" customFormat="1">
      <c r="B52" s="52" t="s">
        <v>112</v>
      </c>
      <c r="C52" s="53" t="s">
        <v>152</v>
      </c>
      <c r="D52" s="53" t="s">
        <v>144</v>
      </c>
      <c r="E52" s="54">
        <f>SUM(E53:E58)</f>
        <v>2701.4</v>
      </c>
      <c r="F52" s="54">
        <f t="shared" ref="F52:G52" si="6">SUM(F54:F57)</f>
        <v>0</v>
      </c>
      <c r="G52" s="54">
        <f t="shared" si="6"/>
        <v>0</v>
      </c>
      <c r="H52" s="32"/>
    </row>
    <row r="53" spans="2:8" s="33" customFormat="1" ht="63">
      <c r="B53" s="50" t="str">
        <f>'5'!B162</f>
        <v>Иные межбюджетные трансферты на осуществление части полномочий в сфере обращения с твердыми коммунальными отходами на территории МО "Город Вытегра"</v>
      </c>
      <c r="C53" s="53" t="s">
        <v>152</v>
      </c>
      <c r="D53" s="53" t="s">
        <v>144</v>
      </c>
      <c r="E53" s="54">
        <f>'5'!H162</f>
        <v>1</v>
      </c>
      <c r="F53" s="54">
        <f>'5'!I162</f>
        <v>0</v>
      </c>
      <c r="G53" s="54">
        <f>'5'!J162</f>
        <v>0</v>
      </c>
      <c r="H53" s="32"/>
    </row>
    <row r="54" spans="2:8" s="33" customFormat="1" ht="50.25" customHeight="1">
      <c r="B54" s="50" t="str">
        <f>'5'!B164</f>
        <v>Иные межбюджетные трансферты на осуществление полномочий на реализацию мероприятий по благоустройству дворовой территории многоквартирного дома</v>
      </c>
      <c r="C54" s="53" t="s">
        <v>152</v>
      </c>
      <c r="D54" s="53" t="s">
        <v>144</v>
      </c>
      <c r="E54" s="54">
        <f>'5'!H164</f>
        <v>1255.9000000000001</v>
      </c>
      <c r="F54" s="54">
        <f>'5'!I164</f>
        <v>0</v>
      </c>
      <c r="G54" s="54">
        <f>'5'!J164</f>
        <v>0</v>
      </c>
      <c r="H54" s="32"/>
    </row>
    <row r="55" spans="2:8" s="33" customFormat="1" ht="47.25">
      <c r="B55" s="50" t="str">
        <f>'5'!B168</f>
        <v>Иные межбюджетные трансферты на осуществление полномочий на реализацию мероприятий по благоустройству дворовых территорий</v>
      </c>
      <c r="C55" s="53" t="s">
        <v>152</v>
      </c>
      <c r="D55" s="53" t="s">
        <v>144</v>
      </c>
      <c r="E55" s="54">
        <f>'5'!H168</f>
        <v>69.900000000000006</v>
      </c>
      <c r="F55" s="54">
        <f>'5'!I168</f>
        <v>0</v>
      </c>
      <c r="G55" s="54">
        <f>'5'!J168</f>
        <v>0</v>
      </c>
      <c r="H55" s="32"/>
    </row>
    <row r="56" spans="2:8" s="33" customFormat="1" hidden="1">
      <c r="B56" s="50" t="e">
        <f>#REF!</f>
        <v>#REF!</v>
      </c>
      <c r="C56" s="53" t="s">
        <v>152</v>
      </c>
      <c r="D56" s="53" t="s">
        <v>144</v>
      </c>
      <c r="E56" s="54">
        <v>0</v>
      </c>
      <c r="F56" s="54">
        <v>0</v>
      </c>
      <c r="G56" s="54">
        <v>0</v>
      </c>
      <c r="H56" s="32"/>
    </row>
    <row r="57" spans="2:8" s="33" customFormat="1" ht="47.25">
      <c r="B57" s="50" t="str">
        <f>'5'!B170</f>
        <v>Иные межбюджетные трансферты на осуществление полномочий на реализацию мероприятий по благоустройству общественных территорий</v>
      </c>
      <c r="C57" s="53" t="s">
        <v>152</v>
      </c>
      <c r="D57" s="53" t="s">
        <v>144</v>
      </c>
      <c r="E57" s="54">
        <f>'5'!H170</f>
        <v>499.5</v>
      </c>
      <c r="F57" s="54">
        <f>'5'!I170</f>
        <v>0</v>
      </c>
      <c r="G57" s="54">
        <f>'5'!J170</f>
        <v>0</v>
      </c>
      <c r="H57" s="32"/>
    </row>
    <row r="58" spans="2:8" s="33" customFormat="1" ht="61.5" customHeight="1">
      <c r="B58" s="50" t="str">
        <f>'5'!B166</f>
        <v>Иные межбюджетные трансферты на осуществление полномочий на реализацию мероприятий по благоустройству общественных территорий с обустройством спортивной и детской площадок в комплексе</v>
      </c>
      <c r="C58" s="53" t="s">
        <v>152</v>
      </c>
      <c r="D58" s="53" t="s">
        <v>144</v>
      </c>
      <c r="E58" s="54">
        <f>'5'!H167</f>
        <v>875.1</v>
      </c>
      <c r="F58" s="54">
        <f>'5'!I167</f>
        <v>0</v>
      </c>
      <c r="G58" s="54">
        <f>'5'!J167</f>
        <v>0</v>
      </c>
      <c r="H58" s="32"/>
    </row>
    <row r="59" spans="2:8">
      <c r="B59" s="18" t="s">
        <v>132</v>
      </c>
      <c r="C59" s="17" t="s">
        <v>155</v>
      </c>
      <c r="D59" s="17"/>
      <c r="E59" s="15">
        <f>E60</f>
        <v>163.80000000000001</v>
      </c>
      <c r="F59" s="15">
        <f t="shared" ref="F59:G59" si="7">F60</f>
        <v>163.80000000000001</v>
      </c>
      <c r="G59" s="15">
        <f t="shared" si="7"/>
        <v>163.80000000000001</v>
      </c>
      <c r="H59" s="10"/>
    </row>
    <row r="60" spans="2:8">
      <c r="B60" s="16" t="s">
        <v>133</v>
      </c>
      <c r="C60" s="17" t="s">
        <v>155</v>
      </c>
      <c r="D60" s="17" t="s">
        <v>155</v>
      </c>
      <c r="E60" s="7">
        <f>'4'!G198</f>
        <v>163.80000000000001</v>
      </c>
      <c r="F60" s="7">
        <f>'4'!H198</f>
        <v>163.80000000000001</v>
      </c>
      <c r="G60" s="7">
        <f>'4'!I198</f>
        <v>163.80000000000001</v>
      </c>
      <c r="H60" s="10"/>
    </row>
    <row r="61" spans="2:8">
      <c r="B61" s="18" t="s">
        <v>134</v>
      </c>
      <c r="C61" s="17" t="s">
        <v>150</v>
      </c>
      <c r="D61" s="17"/>
      <c r="E61" s="15">
        <f>E62+E66</f>
        <v>9787.6999999999989</v>
      </c>
      <c r="F61" s="15">
        <f t="shared" ref="F61:G61" si="8">F62+F66</f>
        <v>9379.7999999999993</v>
      </c>
      <c r="G61" s="15">
        <f t="shared" si="8"/>
        <v>9379.7999999999993</v>
      </c>
      <c r="H61" s="10"/>
    </row>
    <row r="62" spans="2:8">
      <c r="B62" s="16" t="s">
        <v>135</v>
      </c>
      <c r="C62" s="17" t="s">
        <v>150</v>
      </c>
      <c r="D62" s="17" t="s">
        <v>143</v>
      </c>
      <c r="E62" s="7">
        <f>'4'!G203</f>
        <v>9542.4</v>
      </c>
      <c r="F62" s="7">
        <f>'4'!H203</f>
        <v>9379.7999999999993</v>
      </c>
      <c r="G62" s="7">
        <f>'4'!I203</f>
        <v>9379.7999999999993</v>
      </c>
      <c r="H62" s="10"/>
    </row>
    <row r="63" spans="2:8">
      <c r="B63" s="22" t="s">
        <v>111</v>
      </c>
      <c r="C63" s="17"/>
      <c r="D63" s="17"/>
      <c r="E63" s="7"/>
      <c r="F63" s="7"/>
      <c r="G63" s="7"/>
      <c r="H63" s="10"/>
    </row>
    <row r="64" spans="2:8" s="33" customFormat="1">
      <c r="B64" s="23" t="s">
        <v>112</v>
      </c>
      <c r="C64" s="31" t="s">
        <v>150</v>
      </c>
      <c r="D64" s="31" t="s">
        <v>143</v>
      </c>
      <c r="E64" s="30">
        <f>E65</f>
        <v>1800</v>
      </c>
      <c r="F64" s="30">
        <f t="shared" ref="F64:G64" si="9">F65</f>
        <v>1800</v>
      </c>
      <c r="G64" s="30">
        <f t="shared" si="9"/>
        <v>1800</v>
      </c>
      <c r="H64" s="32"/>
    </row>
    <row r="65" spans="2:8" s="33" customFormat="1" ht="31.5">
      <c r="B65" s="24" t="s">
        <v>158</v>
      </c>
      <c r="C65" s="31" t="s">
        <v>150</v>
      </c>
      <c r="D65" s="31" t="s">
        <v>143</v>
      </c>
      <c r="E65" s="30">
        <f>'4'!G204</f>
        <v>1800</v>
      </c>
      <c r="F65" s="30">
        <f>'4'!H204</f>
        <v>1800</v>
      </c>
      <c r="G65" s="30">
        <f>'4'!I204</f>
        <v>1800</v>
      </c>
      <c r="H65" s="32"/>
    </row>
    <row r="66" spans="2:8">
      <c r="B66" s="16" t="s">
        <v>378</v>
      </c>
      <c r="C66" s="17" t="s">
        <v>150</v>
      </c>
      <c r="D66" s="17" t="s">
        <v>145</v>
      </c>
      <c r="E66" s="7">
        <f>'4'!G217</f>
        <v>245.29999999999998</v>
      </c>
      <c r="F66" s="7">
        <f>'4'!H217</f>
        <v>0</v>
      </c>
      <c r="G66" s="7">
        <f>'4'!I217</f>
        <v>0</v>
      </c>
      <c r="H66" s="10"/>
    </row>
    <row r="67" spans="2:8">
      <c r="B67" s="18" t="s">
        <v>136</v>
      </c>
      <c r="C67" s="17" t="s">
        <v>149</v>
      </c>
      <c r="D67" s="17"/>
      <c r="E67" s="15">
        <f>E68</f>
        <v>267.7</v>
      </c>
      <c r="F67" s="15">
        <f t="shared" ref="F67:G67" si="10">F68</f>
        <v>267.7</v>
      </c>
      <c r="G67" s="15">
        <f t="shared" si="10"/>
        <v>267.7</v>
      </c>
      <c r="H67" s="10"/>
    </row>
    <row r="68" spans="2:8">
      <c r="B68" s="16" t="s">
        <v>137</v>
      </c>
      <c r="C68" s="17" t="s">
        <v>149</v>
      </c>
      <c r="D68" s="17" t="s">
        <v>143</v>
      </c>
      <c r="E68" s="7">
        <f>'4'!G224</f>
        <v>267.7</v>
      </c>
      <c r="F68" s="7">
        <f>'4'!H224</f>
        <v>267.7</v>
      </c>
      <c r="G68" s="7">
        <f>'4'!I224</f>
        <v>267.7</v>
      </c>
      <c r="H68" s="10"/>
    </row>
    <row r="69" spans="2:8">
      <c r="B69" s="18" t="s">
        <v>138</v>
      </c>
      <c r="C69" s="17" t="s">
        <v>147</v>
      </c>
      <c r="D69" s="17"/>
      <c r="E69" s="15">
        <f>E70</f>
        <v>1816.3</v>
      </c>
      <c r="F69" s="15">
        <f t="shared" ref="F69:G69" si="11">F70</f>
        <v>1816.3</v>
      </c>
      <c r="G69" s="15">
        <f t="shared" si="11"/>
        <v>1816.3</v>
      </c>
      <c r="H69" s="10"/>
    </row>
    <row r="70" spans="2:8">
      <c r="B70" s="16" t="s">
        <v>139</v>
      </c>
      <c r="C70" s="17" t="s">
        <v>147</v>
      </c>
      <c r="D70" s="17" t="s">
        <v>143</v>
      </c>
      <c r="E70" s="7">
        <f>'4'!G229</f>
        <v>1816.3</v>
      </c>
      <c r="F70" s="7">
        <f>'4'!H229</f>
        <v>1816.3</v>
      </c>
      <c r="G70" s="7">
        <f>'4'!I229</f>
        <v>1816.3</v>
      </c>
      <c r="H70" s="10"/>
    </row>
    <row r="71" spans="2:8" s="33" customFormat="1">
      <c r="B71" s="22" t="s">
        <v>111</v>
      </c>
      <c r="C71" s="31"/>
      <c r="D71" s="31"/>
      <c r="E71" s="30"/>
      <c r="F71" s="30"/>
      <c r="G71" s="30"/>
      <c r="H71" s="32"/>
    </row>
    <row r="72" spans="2:8" s="33" customFormat="1">
      <c r="B72" s="23" t="s">
        <v>112</v>
      </c>
      <c r="C72" s="31" t="s">
        <v>147</v>
      </c>
      <c r="D72" s="31" t="s">
        <v>143</v>
      </c>
      <c r="E72" s="30">
        <f>E73</f>
        <v>1816.3</v>
      </c>
      <c r="F72" s="30">
        <f t="shared" ref="F72:G72" si="12">F73</f>
        <v>1816.3</v>
      </c>
      <c r="G72" s="30">
        <f t="shared" si="12"/>
        <v>1816.3</v>
      </c>
      <c r="H72" s="32"/>
    </row>
    <row r="73" spans="2:8" s="33" customFormat="1" ht="31.5">
      <c r="B73" s="24" t="s">
        <v>160</v>
      </c>
      <c r="C73" s="31" t="s">
        <v>147</v>
      </c>
      <c r="D73" s="31" t="s">
        <v>143</v>
      </c>
      <c r="E73" s="30">
        <f>'4'!G230</f>
        <v>1816.3</v>
      </c>
      <c r="F73" s="30">
        <f>'4'!H230</f>
        <v>1816.3</v>
      </c>
      <c r="G73" s="30">
        <f>'4'!I230</f>
        <v>1816.3</v>
      </c>
      <c r="H73" s="32"/>
    </row>
    <row r="74" spans="2:8">
      <c r="B74" s="18" t="s">
        <v>140</v>
      </c>
      <c r="C74" s="17" t="s">
        <v>153</v>
      </c>
      <c r="D74" s="17"/>
      <c r="E74" s="15">
        <f>E75</f>
        <v>40</v>
      </c>
      <c r="F74" s="15">
        <f t="shared" ref="F74:G74" si="13">F75</f>
        <v>50</v>
      </c>
      <c r="G74" s="15">
        <f t="shared" si="13"/>
        <v>50</v>
      </c>
      <c r="H74" s="10"/>
    </row>
    <row r="75" spans="2:8">
      <c r="B75" s="16" t="s">
        <v>141</v>
      </c>
      <c r="C75" s="17" t="s">
        <v>153</v>
      </c>
      <c r="D75" s="17" t="s">
        <v>154</v>
      </c>
      <c r="E75" s="7">
        <f>'4'!G235</f>
        <v>40</v>
      </c>
      <c r="F75" s="7">
        <f>'4'!H235</f>
        <v>50</v>
      </c>
      <c r="G75" s="7">
        <f>'4'!I235</f>
        <v>50</v>
      </c>
      <c r="H75" s="10"/>
    </row>
    <row r="76" spans="2:8">
      <c r="B76" s="18" t="s">
        <v>142</v>
      </c>
      <c r="C76" s="17"/>
      <c r="D76" s="17"/>
      <c r="E76" s="15">
        <f>SUM(E21,E39,E42,E47,E59,E61,E67,E69,E74)</f>
        <v>254124.17300000001</v>
      </c>
      <c r="F76" s="15">
        <f>SUM(F21,F39,F42,F47,F59,F61,F67,F69,F74)</f>
        <v>60953.100000000006</v>
      </c>
      <c r="G76" s="15">
        <f>SUM(G21,G39,G42,G47,G59,G61,G67,G69,G74)</f>
        <v>63615.700000000012</v>
      </c>
      <c r="H76" s="10"/>
    </row>
    <row r="77" spans="2:8">
      <c r="B77" s="19" t="s">
        <v>156</v>
      </c>
      <c r="C77" s="17"/>
      <c r="D77" s="17"/>
      <c r="E77" s="7"/>
      <c r="F77" s="30">
        <f>'4'!H240</f>
        <v>1512.5</v>
      </c>
      <c r="G77" s="30">
        <f>'4'!I240</f>
        <v>3170.4</v>
      </c>
      <c r="H77" s="10"/>
    </row>
    <row r="78" spans="2:8">
      <c r="B78" s="18" t="s">
        <v>161</v>
      </c>
      <c r="C78" s="17"/>
      <c r="D78" s="17"/>
      <c r="E78" s="15">
        <f>SUM(E76:E77)</f>
        <v>254124.17300000001</v>
      </c>
      <c r="F78" s="15">
        <f>SUM(F76:F77)</f>
        <v>62465.600000000006</v>
      </c>
      <c r="G78" s="15">
        <f t="shared" ref="G78" si="14">SUM(G76:G77)</f>
        <v>66786.100000000006</v>
      </c>
      <c r="H78" s="10"/>
    </row>
    <row r="79" spans="2:8">
      <c r="B79" s="22" t="s">
        <v>111</v>
      </c>
      <c r="C79" s="17"/>
      <c r="D79" s="17"/>
      <c r="E79" s="7"/>
      <c r="F79" s="7"/>
      <c r="G79" s="7"/>
      <c r="H79" s="10"/>
    </row>
    <row r="80" spans="2:8" ht="31.5">
      <c r="B80" s="24" t="s">
        <v>159</v>
      </c>
      <c r="C80" s="17"/>
      <c r="D80" s="17"/>
      <c r="E80" s="30">
        <f>SUM(E25,E34,E52,E64,E72)</f>
        <v>8282.4</v>
      </c>
      <c r="F80" s="30">
        <f>SUM(F25,F34,F52,F64,F72)</f>
        <v>5076.7</v>
      </c>
      <c r="G80" s="30">
        <f>SUM(G25,G34,G52,G64,G72)</f>
        <v>5076.7</v>
      </c>
      <c r="H80" s="10"/>
    </row>
    <row r="82" spans="5:5">
      <c r="E82" s="10"/>
    </row>
    <row r="83" spans="5:5">
      <c r="E83" s="10"/>
    </row>
  </sheetData>
  <mergeCells count="3">
    <mergeCell ref="B18:B19"/>
    <mergeCell ref="D18:D19"/>
    <mergeCell ref="C18:C19"/>
  </mergeCells>
  <pageMargins left="0.70866141732283472" right="0.70866141732283472" top="0.74803149606299213" bottom="0.74803149606299213" header="0.31496062992125984" footer="0.31496062992125984"/>
  <pageSetup paperSize="9" scale="6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3"/>
  <sheetViews>
    <sheetView view="pageBreakPreview" topLeftCell="B1" zoomScale="90" zoomScaleNormal="90" zoomScaleSheetLayoutView="90" workbookViewId="0">
      <selection activeCell="B113" sqref="B113"/>
    </sheetView>
  </sheetViews>
  <sheetFormatPr defaultColWidth="9.140625" defaultRowHeight="15.75"/>
  <cols>
    <col min="1" max="1" width="28.7109375" style="1" hidden="1" customWidth="1"/>
    <col min="2" max="2" width="58.5703125" style="1" customWidth="1"/>
    <col min="3" max="4" width="7.42578125" style="1" customWidth="1"/>
    <col min="5" max="5" width="14.42578125" style="1" bestFit="1" customWidth="1"/>
    <col min="6" max="6" width="7.28515625" style="1" bestFit="1" customWidth="1"/>
    <col min="7" max="9" width="15.28515625" style="1" customWidth="1"/>
    <col min="10" max="16384" width="9.140625" style="1"/>
  </cols>
  <sheetData>
    <row r="1" spans="2:9">
      <c r="I1" s="2" t="s">
        <v>162</v>
      </c>
    </row>
    <row r="2" spans="2:9">
      <c r="I2" s="2" t="str">
        <f>'1'!F2</f>
        <v>к решению Городского Совета</v>
      </c>
    </row>
    <row r="3" spans="2:9">
      <c r="I3" s="2" t="str">
        <f>'1'!F3</f>
        <v>муниципального образования "Город Вытегра"</v>
      </c>
    </row>
    <row r="4" spans="2:9">
      <c r="I4" s="2" t="str">
        <f>'1'!F4</f>
        <v>от 17.10.2024 года № 115</v>
      </c>
    </row>
    <row r="6" spans="2:9">
      <c r="I6" s="2" t="s">
        <v>162</v>
      </c>
    </row>
    <row r="7" spans="2:9">
      <c r="I7" s="2" t="str">
        <f>'1'!F7</f>
        <v>к решению Городского Совета</v>
      </c>
    </row>
    <row r="8" spans="2:9">
      <c r="I8" s="2" t="str">
        <f>'1'!F8</f>
        <v>муниципального образования "Город Вытегра"</v>
      </c>
    </row>
    <row r="9" spans="2:9">
      <c r="I9" s="2" t="str">
        <f>'1'!F9</f>
        <v>"О бюджете муниципального образования "Город Вытегра"</v>
      </c>
    </row>
    <row r="10" spans="2:9">
      <c r="I10" s="2" t="str">
        <f>'1'!F10</f>
        <v>на 2024 год и плановый период 2025 и 2026 годов"</v>
      </c>
    </row>
    <row r="11" spans="2:9">
      <c r="I11" s="2" t="str">
        <f>'1'!F11</f>
        <v>от 14 декабря 2023 года № 78</v>
      </c>
    </row>
    <row r="13" spans="2:9">
      <c r="B13" s="3" t="s">
        <v>104</v>
      </c>
      <c r="C13" s="3"/>
      <c r="D13" s="4"/>
      <c r="E13" s="4"/>
      <c r="F13" s="4"/>
      <c r="G13" s="4"/>
      <c r="H13" s="4"/>
      <c r="I13" s="4"/>
    </row>
    <row r="14" spans="2:9">
      <c r="B14" s="3" t="s">
        <v>165</v>
      </c>
      <c r="C14" s="3"/>
      <c r="D14" s="4"/>
      <c r="E14" s="4"/>
      <c r="F14" s="4"/>
      <c r="G14" s="4"/>
      <c r="H14" s="4"/>
      <c r="I14" s="4"/>
    </row>
    <row r="15" spans="2:9">
      <c r="B15" s="3" t="s">
        <v>166</v>
      </c>
      <c r="C15" s="3"/>
      <c r="D15" s="4"/>
      <c r="E15" s="4"/>
      <c r="F15" s="4"/>
      <c r="G15" s="4"/>
      <c r="H15" s="4"/>
      <c r="I15" s="4"/>
    </row>
    <row r="16" spans="2:9">
      <c r="B16" s="3" t="s">
        <v>344</v>
      </c>
      <c r="C16" s="3"/>
      <c r="D16" s="4"/>
      <c r="E16" s="4"/>
      <c r="F16" s="4"/>
      <c r="G16" s="4"/>
      <c r="H16" s="4"/>
      <c r="I16" s="4"/>
    </row>
    <row r="17" spans="2:10">
      <c r="B17" s="3" t="str">
        <f>справочник!A2</f>
        <v>НА 2024 ГОД И ПЛАНОВЫЙ ПЕРИОД 2025 И 2026 ГОДОВ</v>
      </c>
      <c r="C17" s="3"/>
      <c r="D17" s="4"/>
      <c r="E17" s="4"/>
      <c r="F17" s="4"/>
      <c r="G17" s="4"/>
      <c r="H17" s="4"/>
      <c r="I17" s="4"/>
    </row>
    <row r="18" spans="2:10">
      <c r="B18" s="3"/>
      <c r="C18" s="3"/>
      <c r="D18" s="4"/>
      <c r="E18" s="4"/>
      <c r="F18" s="4"/>
      <c r="G18" s="4"/>
      <c r="H18" s="4"/>
      <c r="I18" s="4"/>
    </row>
    <row r="19" spans="2:10">
      <c r="I19" s="2" t="s">
        <v>7</v>
      </c>
    </row>
    <row r="20" spans="2:10">
      <c r="B20" s="73" t="s">
        <v>107</v>
      </c>
      <c r="C20" s="72" t="s">
        <v>327</v>
      </c>
      <c r="D20" s="72" t="s">
        <v>328</v>
      </c>
      <c r="E20" s="74" t="s">
        <v>163</v>
      </c>
      <c r="F20" s="74" t="s">
        <v>164</v>
      </c>
      <c r="G20" s="25" t="s">
        <v>106</v>
      </c>
      <c r="H20" s="25"/>
      <c r="I20" s="25"/>
    </row>
    <row r="21" spans="2:10">
      <c r="B21" s="73"/>
      <c r="C21" s="72"/>
      <c r="D21" s="72"/>
      <c r="E21" s="75"/>
      <c r="F21" s="75"/>
      <c r="G21" s="26" t="str">
        <f>'1'!D20</f>
        <v>2024 год</v>
      </c>
      <c r="H21" s="48" t="str">
        <f>'1'!E20</f>
        <v>2025 год</v>
      </c>
      <c r="I21" s="48" t="str">
        <f>'1'!F20</f>
        <v>2026 год</v>
      </c>
    </row>
    <row r="22" spans="2:10">
      <c r="B22" s="5">
        <v>1</v>
      </c>
      <c r="C22" s="5">
        <v>2</v>
      </c>
      <c r="D22" s="5">
        <v>3</v>
      </c>
      <c r="E22" s="5">
        <v>4</v>
      </c>
      <c r="F22" s="5">
        <v>5</v>
      </c>
      <c r="G22" s="5">
        <v>6</v>
      </c>
      <c r="H22" s="5"/>
      <c r="I22" s="5">
        <v>7</v>
      </c>
    </row>
    <row r="23" spans="2:10">
      <c r="B23" s="18" t="s">
        <v>108</v>
      </c>
      <c r="C23" s="17" t="s">
        <v>143</v>
      </c>
      <c r="D23" s="17" t="s">
        <v>167</v>
      </c>
      <c r="E23" s="7" t="s">
        <v>168</v>
      </c>
      <c r="F23" s="7" t="s">
        <v>167</v>
      </c>
      <c r="G23" s="15">
        <f>SUM(G24,G33,G61,G69,G73)</f>
        <v>27742.972999999998</v>
      </c>
      <c r="H23" s="15">
        <f t="shared" ref="H23:I23" si="0">SUM(H24,H33,H61,H69,H73)</f>
        <v>14940.4</v>
      </c>
      <c r="I23" s="15">
        <f t="shared" si="0"/>
        <v>14940.4</v>
      </c>
      <c r="J23" s="10"/>
    </row>
    <row r="24" spans="2:10" ht="63">
      <c r="B24" s="51" t="s">
        <v>109</v>
      </c>
      <c r="C24" s="17" t="s">
        <v>143</v>
      </c>
      <c r="D24" s="17" t="s">
        <v>144</v>
      </c>
      <c r="E24" s="7" t="s">
        <v>168</v>
      </c>
      <c r="F24" s="7" t="s">
        <v>167</v>
      </c>
      <c r="G24" s="15">
        <f>G25+G31</f>
        <v>1163.4000000000001</v>
      </c>
      <c r="H24" s="15">
        <f t="shared" ref="H24:I24" si="1">H25+H31</f>
        <v>1134.2</v>
      </c>
      <c r="I24" s="15">
        <f t="shared" si="1"/>
        <v>1134.2</v>
      </c>
      <c r="J24" s="10"/>
    </row>
    <row r="25" spans="2:10" ht="31.5">
      <c r="B25" s="20" t="s">
        <v>169</v>
      </c>
      <c r="C25" s="17" t="s">
        <v>143</v>
      </c>
      <c r="D25" s="17" t="s">
        <v>144</v>
      </c>
      <c r="E25" s="7" t="s">
        <v>170</v>
      </c>
      <c r="F25" s="7" t="s">
        <v>167</v>
      </c>
      <c r="G25" s="7">
        <f>SUM(G26,G29)</f>
        <v>525.9</v>
      </c>
      <c r="H25" s="7">
        <f t="shared" ref="H25:I25" si="2">SUM(H26,H29)</f>
        <v>496.7</v>
      </c>
      <c r="I25" s="7">
        <f t="shared" si="2"/>
        <v>496.70000000000005</v>
      </c>
      <c r="J25" s="10"/>
    </row>
    <row r="26" spans="2:10" ht="31.5">
      <c r="B26" s="20" t="s">
        <v>171</v>
      </c>
      <c r="C26" s="17" t="s">
        <v>143</v>
      </c>
      <c r="D26" s="17" t="s">
        <v>144</v>
      </c>
      <c r="E26" s="7" t="s">
        <v>172</v>
      </c>
      <c r="F26" s="7" t="s">
        <v>167</v>
      </c>
      <c r="G26" s="7">
        <f>SUM(G27:G28)</f>
        <v>525.9</v>
      </c>
      <c r="H26" s="7">
        <f t="shared" ref="H26:I26" si="3">SUM(H27:H28)</f>
        <v>496.7</v>
      </c>
      <c r="I26" s="7">
        <f t="shared" si="3"/>
        <v>496.70000000000005</v>
      </c>
      <c r="J26" s="10"/>
    </row>
    <row r="27" spans="2:10" ht="31.5">
      <c r="B27" s="20" t="s">
        <v>173</v>
      </c>
      <c r="C27" s="17" t="s">
        <v>143</v>
      </c>
      <c r="D27" s="17" t="s">
        <v>144</v>
      </c>
      <c r="E27" s="7" t="s">
        <v>172</v>
      </c>
      <c r="F27" s="7" t="s">
        <v>174</v>
      </c>
      <c r="G27" s="7">
        <f>'5'!H235</f>
        <v>448.5</v>
      </c>
      <c r="H27" s="7">
        <f>'5'!I235</f>
        <v>407.7</v>
      </c>
      <c r="I27" s="7">
        <f>'5'!J235</f>
        <v>407.70000000000005</v>
      </c>
      <c r="J27" s="10"/>
    </row>
    <row r="28" spans="2:10" ht="31.5">
      <c r="B28" s="20" t="s">
        <v>175</v>
      </c>
      <c r="C28" s="17" t="s">
        <v>143</v>
      </c>
      <c r="D28" s="17" t="s">
        <v>144</v>
      </c>
      <c r="E28" s="7" t="s">
        <v>172</v>
      </c>
      <c r="F28" s="7" t="s">
        <v>176</v>
      </c>
      <c r="G28" s="7">
        <f>'5'!H236</f>
        <v>77.400000000000006</v>
      </c>
      <c r="H28" s="7">
        <f>'5'!I236</f>
        <v>89</v>
      </c>
      <c r="I28" s="7">
        <f>'5'!J236</f>
        <v>89</v>
      </c>
      <c r="J28" s="10"/>
    </row>
    <row r="29" spans="2:10" ht="31.5" hidden="1" customHeight="1">
      <c r="B29" s="20" t="s">
        <v>177</v>
      </c>
      <c r="C29" s="17" t="s">
        <v>143</v>
      </c>
      <c r="D29" s="17" t="s">
        <v>144</v>
      </c>
      <c r="E29" s="7" t="s">
        <v>178</v>
      </c>
      <c r="F29" s="7" t="s">
        <v>167</v>
      </c>
      <c r="G29" s="7">
        <f>G30</f>
        <v>0</v>
      </c>
      <c r="H29" s="7"/>
      <c r="I29" s="7">
        <f>I30</f>
        <v>0</v>
      </c>
      <c r="J29" s="10"/>
    </row>
    <row r="30" spans="2:10" ht="31.5" hidden="1">
      <c r="B30" s="20" t="s">
        <v>173</v>
      </c>
      <c r="C30" s="17" t="s">
        <v>143</v>
      </c>
      <c r="D30" s="17" t="s">
        <v>144</v>
      </c>
      <c r="E30" s="7" t="s">
        <v>178</v>
      </c>
      <c r="F30" s="7" t="s">
        <v>174</v>
      </c>
      <c r="G30" s="7">
        <f>'5'!H238</f>
        <v>0</v>
      </c>
      <c r="H30" s="7"/>
      <c r="I30" s="7">
        <f>'5'!J238</f>
        <v>0</v>
      </c>
      <c r="J30" s="10"/>
    </row>
    <row r="31" spans="2:10" ht="47.25">
      <c r="B31" s="20" t="s">
        <v>177</v>
      </c>
      <c r="C31" s="17" t="s">
        <v>143</v>
      </c>
      <c r="D31" s="17" t="s">
        <v>144</v>
      </c>
      <c r="E31" s="7" t="s">
        <v>178</v>
      </c>
      <c r="F31" s="7" t="s">
        <v>167</v>
      </c>
      <c r="G31" s="7">
        <f>G32</f>
        <v>637.5</v>
      </c>
      <c r="H31" s="7">
        <f t="shared" ref="H31:I31" si="4">H32</f>
        <v>637.5</v>
      </c>
      <c r="I31" s="7">
        <f t="shared" si="4"/>
        <v>637.5</v>
      </c>
      <c r="J31" s="10"/>
    </row>
    <row r="32" spans="2:10" ht="31.5">
      <c r="B32" s="20" t="s">
        <v>173</v>
      </c>
      <c r="C32" s="17" t="s">
        <v>143</v>
      </c>
      <c r="D32" s="17" t="s">
        <v>144</v>
      </c>
      <c r="E32" s="7" t="s">
        <v>178</v>
      </c>
      <c r="F32" s="7" t="s">
        <v>174</v>
      </c>
      <c r="G32" s="7">
        <f>'5'!H240</f>
        <v>637.5</v>
      </c>
      <c r="H32" s="7">
        <v>637.5</v>
      </c>
      <c r="I32" s="7">
        <v>637.5</v>
      </c>
      <c r="J32" s="10"/>
    </row>
    <row r="33" spans="2:10" ht="47.25" customHeight="1">
      <c r="B33" s="51" t="s">
        <v>110</v>
      </c>
      <c r="C33" s="17" t="s">
        <v>143</v>
      </c>
      <c r="D33" s="17" t="s">
        <v>145</v>
      </c>
      <c r="E33" s="7" t="s">
        <v>168</v>
      </c>
      <c r="F33" s="7" t="s">
        <v>167</v>
      </c>
      <c r="G33" s="15">
        <f>SUM(G34,G37,G56)</f>
        <v>11757.9</v>
      </c>
      <c r="H33" s="15">
        <f t="shared" ref="H33:I33" si="5">SUM(H34,H37,H56)</f>
        <v>11344.9</v>
      </c>
      <c r="I33" s="15">
        <f t="shared" si="5"/>
        <v>11344.9</v>
      </c>
      <c r="J33" s="10"/>
    </row>
    <row r="34" spans="2:10">
      <c r="B34" s="20" t="s">
        <v>179</v>
      </c>
      <c r="C34" s="17" t="s">
        <v>143</v>
      </c>
      <c r="D34" s="17" t="s">
        <v>145</v>
      </c>
      <c r="E34" s="7" t="s">
        <v>180</v>
      </c>
      <c r="F34" s="7" t="s">
        <v>167</v>
      </c>
      <c r="G34" s="7">
        <f>G35</f>
        <v>2</v>
      </c>
      <c r="H34" s="7">
        <f t="shared" ref="H34:I35" si="6">H35</f>
        <v>2</v>
      </c>
      <c r="I34" s="7">
        <f t="shared" si="6"/>
        <v>2</v>
      </c>
      <c r="J34" s="10"/>
    </row>
    <row r="35" spans="2:10" ht="157.5" customHeight="1">
      <c r="B35" s="20" t="s">
        <v>323</v>
      </c>
      <c r="C35" s="17" t="s">
        <v>143</v>
      </c>
      <c r="D35" s="17" t="s">
        <v>145</v>
      </c>
      <c r="E35" s="7" t="s">
        <v>181</v>
      </c>
      <c r="F35" s="7" t="s">
        <v>167</v>
      </c>
      <c r="G35" s="7">
        <f>G36</f>
        <v>2</v>
      </c>
      <c r="H35" s="7">
        <f t="shared" si="6"/>
        <v>2</v>
      </c>
      <c r="I35" s="7">
        <f t="shared" si="6"/>
        <v>2</v>
      </c>
      <c r="J35" s="10"/>
    </row>
    <row r="36" spans="2:10" ht="31.5">
      <c r="B36" s="20" t="s">
        <v>175</v>
      </c>
      <c r="C36" s="17" t="s">
        <v>143</v>
      </c>
      <c r="D36" s="17" t="s">
        <v>145</v>
      </c>
      <c r="E36" s="7" t="s">
        <v>181</v>
      </c>
      <c r="F36" s="7" t="s">
        <v>176</v>
      </c>
      <c r="G36" s="7">
        <f>'5'!H29</f>
        <v>2</v>
      </c>
      <c r="H36" s="7">
        <f>'5'!I29</f>
        <v>2</v>
      </c>
      <c r="I36" s="7">
        <f>'5'!J29</f>
        <v>2</v>
      </c>
      <c r="J36" s="10"/>
    </row>
    <row r="37" spans="2:10">
      <c r="B37" s="20" t="s">
        <v>96</v>
      </c>
      <c r="C37" s="17" t="s">
        <v>143</v>
      </c>
      <c r="D37" s="17" t="s">
        <v>145</v>
      </c>
      <c r="E37" s="7" t="s">
        <v>182</v>
      </c>
      <c r="F37" s="7" t="s">
        <v>167</v>
      </c>
      <c r="G37" s="7">
        <f>SUM(G38,G41,G44,G47,G50,G53)</f>
        <v>1253.3</v>
      </c>
      <c r="H37" s="7">
        <f t="shared" ref="H37:I37" si="7">SUM(H38,H41,H44,H47,H50,H53)</f>
        <v>749</v>
      </c>
      <c r="I37" s="7">
        <f t="shared" si="7"/>
        <v>749</v>
      </c>
      <c r="J37" s="10"/>
    </row>
    <row r="38" spans="2:10" ht="31.5">
      <c r="B38" s="20" t="s">
        <v>113</v>
      </c>
      <c r="C38" s="17" t="s">
        <v>143</v>
      </c>
      <c r="D38" s="17" t="s">
        <v>145</v>
      </c>
      <c r="E38" s="7" t="s">
        <v>183</v>
      </c>
      <c r="F38" s="7" t="s">
        <v>167</v>
      </c>
      <c r="G38" s="7">
        <f>G39</f>
        <v>435.5</v>
      </c>
      <c r="H38" s="7">
        <f t="shared" ref="H38:I39" si="8">H39</f>
        <v>435.5</v>
      </c>
      <c r="I38" s="7">
        <f t="shared" si="8"/>
        <v>435.5</v>
      </c>
      <c r="J38" s="10"/>
    </row>
    <row r="39" spans="2:10" ht="47.25">
      <c r="B39" s="20" t="s">
        <v>184</v>
      </c>
      <c r="C39" s="17" t="s">
        <v>143</v>
      </c>
      <c r="D39" s="17" t="s">
        <v>145</v>
      </c>
      <c r="E39" s="7" t="s">
        <v>185</v>
      </c>
      <c r="F39" s="7" t="s">
        <v>167</v>
      </c>
      <c r="G39" s="7">
        <f>G40</f>
        <v>435.5</v>
      </c>
      <c r="H39" s="7">
        <f t="shared" si="8"/>
        <v>435.5</v>
      </c>
      <c r="I39" s="7">
        <f t="shared" si="8"/>
        <v>435.5</v>
      </c>
      <c r="J39" s="10"/>
    </row>
    <row r="40" spans="2:10">
      <c r="B40" s="20" t="s">
        <v>186</v>
      </c>
      <c r="C40" s="17" t="s">
        <v>143</v>
      </c>
      <c r="D40" s="17" t="s">
        <v>145</v>
      </c>
      <c r="E40" s="7" t="s">
        <v>185</v>
      </c>
      <c r="F40" s="7" t="s">
        <v>187</v>
      </c>
      <c r="G40" s="7">
        <f>'5'!H33</f>
        <v>435.5</v>
      </c>
      <c r="H40" s="7">
        <f>'5'!I33</f>
        <v>435.5</v>
      </c>
      <c r="I40" s="7">
        <f>'5'!J33</f>
        <v>435.5</v>
      </c>
      <c r="J40" s="10"/>
    </row>
    <row r="41" spans="2:10" ht="31.5">
      <c r="B41" s="20" t="s">
        <v>160</v>
      </c>
      <c r="C41" s="17" t="s">
        <v>143</v>
      </c>
      <c r="D41" s="17" t="s">
        <v>145</v>
      </c>
      <c r="E41" s="7" t="s">
        <v>188</v>
      </c>
      <c r="F41" s="7" t="s">
        <v>167</v>
      </c>
      <c r="G41" s="7">
        <f>G42</f>
        <v>65.400000000000006</v>
      </c>
      <c r="H41" s="7">
        <f t="shared" ref="H41:I42" si="9">H42</f>
        <v>65.400000000000006</v>
      </c>
      <c r="I41" s="7">
        <f t="shared" si="9"/>
        <v>65.400000000000006</v>
      </c>
      <c r="J41" s="10"/>
    </row>
    <row r="42" spans="2:10" ht="47.25">
      <c r="B42" s="20" t="s">
        <v>184</v>
      </c>
      <c r="C42" s="17" t="s">
        <v>143</v>
      </c>
      <c r="D42" s="17" t="s">
        <v>145</v>
      </c>
      <c r="E42" s="7" t="s">
        <v>189</v>
      </c>
      <c r="F42" s="7" t="s">
        <v>167</v>
      </c>
      <c r="G42" s="7">
        <f>G43</f>
        <v>65.400000000000006</v>
      </c>
      <c r="H42" s="7">
        <f t="shared" si="9"/>
        <v>65.400000000000006</v>
      </c>
      <c r="I42" s="7">
        <f t="shared" si="9"/>
        <v>65.400000000000006</v>
      </c>
      <c r="J42" s="10"/>
    </row>
    <row r="43" spans="2:10">
      <c r="B43" s="20" t="s">
        <v>186</v>
      </c>
      <c r="C43" s="17" t="s">
        <v>143</v>
      </c>
      <c r="D43" s="17" t="s">
        <v>145</v>
      </c>
      <c r="E43" s="7" t="s">
        <v>189</v>
      </c>
      <c r="F43" s="7" t="s">
        <v>187</v>
      </c>
      <c r="G43" s="7">
        <f>'5'!H36</f>
        <v>65.400000000000006</v>
      </c>
      <c r="H43" s="7">
        <f>'5'!I36</f>
        <v>65.400000000000006</v>
      </c>
      <c r="I43" s="7">
        <f>'5'!J36</f>
        <v>65.400000000000006</v>
      </c>
      <c r="J43" s="10"/>
    </row>
    <row r="44" spans="2:10" ht="47.25" customHeight="1">
      <c r="B44" s="20" t="s">
        <v>157</v>
      </c>
      <c r="C44" s="17" t="s">
        <v>143</v>
      </c>
      <c r="D44" s="17" t="s">
        <v>145</v>
      </c>
      <c r="E44" s="7" t="s">
        <v>191</v>
      </c>
      <c r="F44" s="7" t="s">
        <v>167</v>
      </c>
      <c r="G44" s="7">
        <f>G45</f>
        <v>142.30000000000001</v>
      </c>
      <c r="H44" s="7">
        <f t="shared" ref="H44:I45" si="10">H45</f>
        <v>142.30000000000001</v>
      </c>
      <c r="I44" s="7">
        <f t="shared" si="10"/>
        <v>142.30000000000001</v>
      </c>
      <c r="J44" s="10"/>
    </row>
    <row r="45" spans="2:10" ht="47.25">
      <c r="B45" s="20" t="s">
        <v>184</v>
      </c>
      <c r="C45" s="17" t="s">
        <v>143</v>
      </c>
      <c r="D45" s="17" t="s">
        <v>145</v>
      </c>
      <c r="E45" s="7" t="s">
        <v>192</v>
      </c>
      <c r="F45" s="7" t="s">
        <v>167</v>
      </c>
      <c r="G45" s="7">
        <f>G46</f>
        <v>142.30000000000001</v>
      </c>
      <c r="H45" s="7">
        <f t="shared" si="10"/>
        <v>142.30000000000001</v>
      </c>
      <c r="I45" s="7">
        <f t="shared" si="10"/>
        <v>142.30000000000001</v>
      </c>
      <c r="J45" s="10"/>
    </row>
    <row r="46" spans="2:10">
      <c r="B46" s="20" t="s">
        <v>186</v>
      </c>
      <c r="C46" s="17" t="s">
        <v>143</v>
      </c>
      <c r="D46" s="17" t="s">
        <v>145</v>
      </c>
      <c r="E46" s="7" t="s">
        <v>192</v>
      </c>
      <c r="F46" s="7" t="s">
        <v>187</v>
      </c>
      <c r="G46" s="7">
        <f>'5'!H39</f>
        <v>142.30000000000001</v>
      </c>
      <c r="H46" s="7">
        <f>'5'!I39</f>
        <v>142.30000000000001</v>
      </c>
      <c r="I46" s="7">
        <f>'5'!J39</f>
        <v>142.30000000000001</v>
      </c>
      <c r="J46" s="10"/>
    </row>
    <row r="47" spans="2:10" ht="31.5">
      <c r="B47" s="20" t="s">
        <v>193</v>
      </c>
      <c r="C47" s="17" t="s">
        <v>143</v>
      </c>
      <c r="D47" s="17" t="s">
        <v>145</v>
      </c>
      <c r="E47" s="7" t="s">
        <v>194</v>
      </c>
      <c r="F47" s="7" t="s">
        <v>167</v>
      </c>
      <c r="G47" s="7">
        <f>G48</f>
        <v>60.5</v>
      </c>
      <c r="H47" s="7">
        <f t="shared" ref="H47:I48" si="11">H48</f>
        <v>60.5</v>
      </c>
      <c r="I47" s="7">
        <f t="shared" si="11"/>
        <v>60.5</v>
      </c>
      <c r="J47" s="10"/>
    </row>
    <row r="48" spans="2:10" ht="47.25">
      <c r="B48" s="20" t="s">
        <v>184</v>
      </c>
      <c r="C48" s="17" t="s">
        <v>143</v>
      </c>
      <c r="D48" s="17" t="s">
        <v>145</v>
      </c>
      <c r="E48" s="7" t="s">
        <v>195</v>
      </c>
      <c r="F48" s="7" t="s">
        <v>167</v>
      </c>
      <c r="G48" s="7">
        <f>G49</f>
        <v>60.5</v>
      </c>
      <c r="H48" s="7">
        <f t="shared" si="11"/>
        <v>60.5</v>
      </c>
      <c r="I48" s="7">
        <f t="shared" si="11"/>
        <v>60.5</v>
      </c>
      <c r="J48" s="10"/>
    </row>
    <row r="49" spans="2:10">
      <c r="B49" s="20" t="s">
        <v>186</v>
      </c>
      <c r="C49" s="17" t="s">
        <v>143</v>
      </c>
      <c r="D49" s="17" t="s">
        <v>145</v>
      </c>
      <c r="E49" s="7" t="s">
        <v>195</v>
      </c>
      <c r="F49" s="7" t="s">
        <v>187</v>
      </c>
      <c r="G49" s="7">
        <f>'5'!H42</f>
        <v>60.5</v>
      </c>
      <c r="H49" s="7">
        <f>'5'!I42</f>
        <v>60.5</v>
      </c>
      <c r="I49" s="7">
        <f>'5'!J42</f>
        <v>60.5</v>
      </c>
      <c r="J49" s="10"/>
    </row>
    <row r="50" spans="2:10" ht="31.5">
      <c r="B50" s="20" t="s">
        <v>114</v>
      </c>
      <c r="C50" s="17" t="s">
        <v>143</v>
      </c>
      <c r="D50" s="17" t="s">
        <v>145</v>
      </c>
      <c r="E50" s="7" t="s">
        <v>196</v>
      </c>
      <c r="F50" s="7" t="s">
        <v>167</v>
      </c>
      <c r="G50" s="7">
        <f>G51</f>
        <v>45.3</v>
      </c>
      <c r="H50" s="7">
        <f t="shared" ref="H50:I51" si="12">H51</f>
        <v>45.3</v>
      </c>
      <c r="I50" s="7">
        <f t="shared" si="12"/>
        <v>45.3</v>
      </c>
      <c r="J50" s="10"/>
    </row>
    <row r="51" spans="2:10" ht="47.25">
      <c r="B51" s="20" t="s">
        <v>184</v>
      </c>
      <c r="C51" s="17" t="s">
        <v>143</v>
      </c>
      <c r="D51" s="17" t="s">
        <v>145</v>
      </c>
      <c r="E51" s="7" t="s">
        <v>197</v>
      </c>
      <c r="F51" s="7" t="s">
        <v>167</v>
      </c>
      <c r="G51" s="7">
        <f>G52</f>
        <v>45.3</v>
      </c>
      <c r="H51" s="7">
        <f t="shared" si="12"/>
        <v>45.3</v>
      </c>
      <c r="I51" s="7">
        <f t="shared" si="12"/>
        <v>45.3</v>
      </c>
      <c r="J51" s="10"/>
    </row>
    <row r="52" spans="2:10">
      <c r="B52" s="20" t="s">
        <v>186</v>
      </c>
      <c r="C52" s="17" t="s">
        <v>143</v>
      </c>
      <c r="D52" s="17" t="s">
        <v>145</v>
      </c>
      <c r="E52" s="7" t="s">
        <v>197</v>
      </c>
      <c r="F52" s="7" t="s">
        <v>187</v>
      </c>
      <c r="G52" s="7">
        <f>'5'!H45</f>
        <v>45.3</v>
      </c>
      <c r="H52" s="7">
        <f>'5'!I45</f>
        <v>45.3</v>
      </c>
      <c r="I52" s="7">
        <f>'5'!J45</f>
        <v>45.3</v>
      </c>
      <c r="J52" s="10"/>
    </row>
    <row r="53" spans="2:10" ht="47.25">
      <c r="B53" s="34" t="s">
        <v>387</v>
      </c>
      <c r="C53" s="17" t="s">
        <v>143</v>
      </c>
      <c r="D53" s="17" t="s">
        <v>145</v>
      </c>
      <c r="E53" s="57" t="s">
        <v>395</v>
      </c>
      <c r="F53" s="7"/>
      <c r="G53" s="7">
        <f>G54</f>
        <v>504.3</v>
      </c>
      <c r="H53" s="7">
        <f t="shared" ref="H53:I54" si="13">H54</f>
        <v>0</v>
      </c>
      <c r="I53" s="7">
        <f t="shared" si="13"/>
        <v>0</v>
      </c>
      <c r="J53" s="10"/>
    </row>
    <row r="54" spans="2:10" ht="47.25">
      <c r="B54" s="34" t="s">
        <v>184</v>
      </c>
      <c r="C54" s="17" t="s">
        <v>143</v>
      </c>
      <c r="D54" s="17" t="s">
        <v>145</v>
      </c>
      <c r="E54" s="57" t="s">
        <v>394</v>
      </c>
      <c r="F54" s="7"/>
      <c r="G54" s="7">
        <f>G55</f>
        <v>504.3</v>
      </c>
      <c r="H54" s="7">
        <f t="shared" si="13"/>
        <v>0</v>
      </c>
      <c r="I54" s="7">
        <f t="shared" si="13"/>
        <v>0</v>
      </c>
      <c r="J54" s="10"/>
    </row>
    <row r="55" spans="2:10">
      <c r="B55" s="34" t="s">
        <v>186</v>
      </c>
      <c r="C55" s="17" t="s">
        <v>143</v>
      </c>
      <c r="D55" s="17" t="s">
        <v>145</v>
      </c>
      <c r="E55" s="57" t="s">
        <v>394</v>
      </c>
      <c r="F55" s="17">
        <v>540</v>
      </c>
      <c r="G55" s="7">
        <f>'5'!H48</f>
        <v>504.3</v>
      </c>
      <c r="H55" s="7">
        <f>'5'!I48</f>
        <v>0</v>
      </c>
      <c r="I55" s="7">
        <f>'5'!J48</f>
        <v>0</v>
      </c>
      <c r="J55" s="10"/>
    </row>
    <row r="56" spans="2:10">
      <c r="B56" s="16" t="s">
        <v>198</v>
      </c>
      <c r="C56" s="17" t="s">
        <v>143</v>
      </c>
      <c r="D56" s="17" t="s">
        <v>145</v>
      </c>
      <c r="E56" s="7" t="s">
        <v>199</v>
      </c>
      <c r="F56" s="7" t="s">
        <v>167</v>
      </c>
      <c r="G56" s="7">
        <f>G57</f>
        <v>10502.6</v>
      </c>
      <c r="H56" s="7">
        <f t="shared" ref="H56:I56" si="14">H57</f>
        <v>10593.9</v>
      </c>
      <c r="I56" s="7">
        <f t="shared" si="14"/>
        <v>10593.9</v>
      </c>
      <c r="J56" s="10"/>
    </row>
    <row r="57" spans="2:10" ht="31.5">
      <c r="B57" s="20" t="s">
        <v>171</v>
      </c>
      <c r="C57" s="17" t="s">
        <v>143</v>
      </c>
      <c r="D57" s="17" t="s">
        <v>145</v>
      </c>
      <c r="E57" s="7" t="s">
        <v>200</v>
      </c>
      <c r="F57" s="7" t="s">
        <v>167</v>
      </c>
      <c r="G57" s="7">
        <f>SUM(G58:G60)</f>
        <v>10502.6</v>
      </c>
      <c r="H57" s="7">
        <f t="shared" ref="H57:I57" si="15">SUM(H58:H60)</f>
        <v>10593.9</v>
      </c>
      <c r="I57" s="7">
        <f t="shared" si="15"/>
        <v>10593.9</v>
      </c>
      <c r="J57" s="10"/>
    </row>
    <row r="58" spans="2:10" ht="31.5">
      <c r="B58" s="20" t="s">
        <v>173</v>
      </c>
      <c r="C58" s="17" t="s">
        <v>143</v>
      </c>
      <c r="D58" s="17" t="s">
        <v>145</v>
      </c>
      <c r="E58" s="7" t="s">
        <v>200</v>
      </c>
      <c r="F58" s="7" t="s">
        <v>174</v>
      </c>
      <c r="G58" s="7">
        <f>'5'!H51</f>
        <v>7125.5</v>
      </c>
      <c r="H58" s="7">
        <f>'5'!I51</f>
        <v>6749.2</v>
      </c>
      <c r="I58" s="7">
        <f>'5'!J51</f>
        <v>6749.2</v>
      </c>
      <c r="J58" s="10"/>
    </row>
    <row r="59" spans="2:10" ht="31.5">
      <c r="B59" s="20" t="s">
        <v>175</v>
      </c>
      <c r="C59" s="17" t="s">
        <v>143</v>
      </c>
      <c r="D59" s="17" t="s">
        <v>145</v>
      </c>
      <c r="E59" s="7" t="s">
        <v>200</v>
      </c>
      <c r="F59" s="7" t="s">
        <v>176</v>
      </c>
      <c r="G59" s="7">
        <f>'5'!H52</f>
        <v>3327.1000000000004</v>
      </c>
      <c r="H59" s="7">
        <f>'5'!I52</f>
        <v>3794.7</v>
      </c>
      <c r="I59" s="7">
        <f>'5'!J52</f>
        <v>3794.7</v>
      </c>
      <c r="J59" s="10"/>
    </row>
    <row r="60" spans="2:10">
      <c r="B60" s="20" t="s">
        <v>201</v>
      </c>
      <c r="C60" s="17" t="s">
        <v>143</v>
      </c>
      <c r="D60" s="17" t="s">
        <v>145</v>
      </c>
      <c r="E60" s="7" t="s">
        <v>200</v>
      </c>
      <c r="F60" s="7" t="s">
        <v>202</v>
      </c>
      <c r="G60" s="7">
        <f>'5'!H53</f>
        <v>50</v>
      </c>
      <c r="H60" s="7">
        <f>'5'!I53</f>
        <v>50</v>
      </c>
      <c r="I60" s="7">
        <f>'5'!J53</f>
        <v>50</v>
      </c>
      <c r="J60" s="10"/>
    </row>
    <row r="61" spans="2:10" ht="47.25">
      <c r="B61" s="51" t="s">
        <v>116</v>
      </c>
      <c r="C61" s="17" t="s">
        <v>143</v>
      </c>
      <c r="D61" s="17" t="s">
        <v>146</v>
      </c>
      <c r="E61" s="7" t="s">
        <v>168</v>
      </c>
      <c r="F61" s="7" t="s">
        <v>167</v>
      </c>
      <c r="G61" s="15">
        <f>G62</f>
        <v>711.4</v>
      </c>
      <c r="H61" s="15">
        <f t="shared" ref="H61:I61" si="16">H62</f>
        <v>711.4</v>
      </c>
      <c r="I61" s="15">
        <f t="shared" si="16"/>
        <v>711.4</v>
      </c>
      <c r="J61" s="10"/>
    </row>
    <row r="62" spans="2:10">
      <c r="B62" s="20" t="s">
        <v>186</v>
      </c>
      <c r="C62" s="17" t="s">
        <v>143</v>
      </c>
      <c r="D62" s="17" t="s">
        <v>146</v>
      </c>
      <c r="E62" s="7" t="s">
        <v>182</v>
      </c>
      <c r="F62" s="7" t="s">
        <v>167</v>
      </c>
      <c r="G62" s="7">
        <f>SUM(G63,G66)</f>
        <v>711.4</v>
      </c>
      <c r="H62" s="7">
        <f t="shared" ref="H62:I62" si="17">SUM(H63,H66)</f>
        <v>711.4</v>
      </c>
      <c r="I62" s="7">
        <f t="shared" si="17"/>
        <v>711.4</v>
      </c>
      <c r="J62" s="10"/>
    </row>
    <row r="63" spans="2:10" ht="78.75">
      <c r="B63" s="20" t="s">
        <v>339</v>
      </c>
      <c r="C63" s="17" t="s">
        <v>143</v>
      </c>
      <c r="D63" s="17" t="s">
        <v>146</v>
      </c>
      <c r="E63" s="7" t="s">
        <v>203</v>
      </c>
      <c r="F63" s="7" t="s">
        <v>167</v>
      </c>
      <c r="G63" s="7">
        <f>G64</f>
        <v>345</v>
      </c>
      <c r="H63" s="7">
        <f t="shared" ref="H63:I64" si="18">H64</f>
        <v>345</v>
      </c>
      <c r="I63" s="7">
        <f t="shared" si="18"/>
        <v>345</v>
      </c>
      <c r="J63" s="10"/>
    </row>
    <row r="64" spans="2:10" ht="47.25">
      <c r="B64" s="20" t="s">
        <v>184</v>
      </c>
      <c r="C64" s="17" t="s">
        <v>143</v>
      </c>
      <c r="D64" s="17" t="s">
        <v>146</v>
      </c>
      <c r="E64" s="7" t="s">
        <v>204</v>
      </c>
      <c r="F64" s="7" t="s">
        <v>167</v>
      </c>
      <c r="G64" s="7">
        <f>G65</f>
        <v>345</v>
      </c>
      <c r="H64" s="7">
        <f t="shared" si="18"/>
        <v>345</v>
      </c>
      <c r="I64" s="7">
        <f t="shared" si="18"/>
        <v>345</v>
      </c>
      <c r="J64" s="10"/>
    </row>
    <row r="65" spans="2:10">
      <c r="B65" s="20" t="s">
        <v>186</v>
      </c>
      <c r="C65" s="17" t="s">
        <v>143</v>
      </c>
      <c r="D65" s="17" t="s">
        <v>146</v>
      </c>
      <c r="E65" s="7" t="s">
        <v>204</v>
      </c>
      <c r="F65" s="7" t="s">
        <v>187</v>
      </c>
      <c r="G65" s="7">
        <f>'5'!H58</f>
        <v>345</v>
      </c>
      <c r="H65" s="7">
        <f>'5'!I58</f>
        <v>345</v>
      </c>
      <c r="I65" s="7">
        <f>'5'!J58</f>
        <v>345</v>
      </c>
      <c r="J65" s="10"/>
    </row>
    <row r="66" spans="2:10" ht="31.5">
      <c r="B66" s="20" t="s">
        <v>118</v>
      </c>
      <c r="C66" s="17" t="s">
        <v>143</v>
      </c>
      <c r="D66" s="17" t="s">
        <v>146</v>
      </c>
      <c r="E66" s="7" t="s">
        <v>205</v>
      </c>
      <c r="F66" s="7" t="s">
        <v>167</v>
      </c>
      <c r="G66" s="7">
        <f>G67</f>
        <v>366.4</v>
      </c>
      <c r="H66" s="7">
        <f t="shared" ref="H66:I67" si="19">H67</f>
        <v>366.4</v>
      </c>
      <c r="I66" s="7">
        <f t="shared" si="19"/>
        <v>366.4</v>
      </c>
      <c r="J66" s="10"/>
    </row>
    <row r="67" spans="2:10" ht="47.25">
      <c r="B67" s="20" t="s">
        <v>184</v>
      </c>
      <c r="C67" s="17" t="s">
        <v>143</v>
      </c>
      <c r="D67" s="17" t="s">
        <v>146</v>
      </c>
      <c r="E67" s="7" t="s">
        <v>206</v>
      </c>
      <c r="F67" s="7" t="s">
        <v>167</v>
      </c>
      <c r="G67" s="7">
        <f>G68</f>
        <v>366.4</v>
      </c>
      <c r="H67" s="7">
        <f t="shared" si="19"/>
        <v>366.4</v>
      </c>
      <c r="I67" s="7">
        <f t="shared" si="19"/>
        <v>366.4</v>
      </c>
      <c r="J67" s="10"/>
    </row>
    <row r="68" spans="2:10">
      <c r="B68" s="20" t="s">
        <v>186</v>
      </c>
      <c r="C68" s="17" t="s">
        <v>143</v>
      </c>
      <c r="D68" s="17" t="s">
        <v>146</v>
      </c>
      <c r="E68" s="7" t="s">
        <v>206</v>
      </c>
      <c r="F68" s="7" t="s">
        <v>187</v>
      </c>
      <c r="G68" s="7">
        <f>'5'!H245</f>
        <v>366.4</v>
      </c>
      <c r="H68" s="7">
        <f>'5'!I245</f>
        <v>366.4</v>
      </c>
      <c r="I68" s="7">
        <f>'5'!J245</f>
        <v>366.4</v>
      </c>
      <c r="J68" s="10"/>
    </row>
    <row r="69" spans="2:10" s="61" customFormat="1">
      <c r="B69" s="58" t="s">
        <v>119</v>
      </c>
      <c r="C69" s="56" t="s">
        <v>143</v>
      </c>
      <c r="D69" s="56" t="s">
        <v>147</v>
      </c>
      <c r="E69" s="57" t="s">
        <v>168</v>
      </c>
      <c r="F69" s="57" t="s">
        <v>167</v>
      </c>
      <c r="G69" s="59">
        <f>G70</f>
        <v>100</v>
      </c>
      <c r="H69" s="59">
        <f t="shared" ref="H69:I69" si="20">H70</f>
        <v>500</v>
      </c>
      <c r="I69" s="59">
        <f t="shared" si="20"/>
        <v>500</v>
      </c>
      <c r="J69" s="60"/>
    </row>
    <row r="70" spans="2:10" s="61" customFormat="1">
      <c r="B70" s="34" t="s">
        <v>119</v>
      </c>
      <c r="C70" s="56" t="s">
        <v>143</v>
      </c>
      <c r="D70" s="56" t="s">
        <v>147</v>
      </c>
      <c r="E70" s="57" t="s">
        <v>207</v>
      </c>
      <c r="F70" s="57" t="s">
        <v>167</v>
      </c>
      <c r="G70" s="57">
        <f t="shared" ref="G70:I71" si="21">G71</f>
        <v>100</v>
      </c>
      <c r="H70" s="57">
        <f t="shared" si="21"/>
        <v>500</v>
      </c>
      <c r="I70" s="57">
        <f t="shared" si="21"/>
        <v>500</v>
      </c>
      <c r="J70" s="60"/>
    </row>
    <row r="71" spans="2:10" s="61" customFormat="1">
      <c r="B71" s="34" t="s">
        <v>208</v>
      </c>
      <c r="C71" s="56" t="s">
        <v>143</v>
      </c>
      <c r="D71" s="56" t="s">
        <v>147</v>
      </c>
      <c r="E71" s="57" t="s">
        <v>209</v>
      </c>
      <c r="F71" s="57" t="s">
        <v>167</v>
      </c>
      <c r="G71" s="57">
        <f>G72</f>
        <v>100</v>
      </c>
      <c r="H71" s="57">
        <f t="shared" si="21"/>
        <v>500</v>
      </c>
      <c r="I71" s="57">
        <f t="shared" si="21"/>
        <v>500</v>
      </c>
      <c r="J71" s="60"/>
    </row>
    <row r="72" spans="2:10">
      <c r="B72" s="20" t="s">
        <v>119</v>
      </c>
      <c r="C72" s="17" t="s">
        <v>143</v>
      </c>
      <c r="D72" s="17" t="s">
        <v>147</v>
      </c>
      <c r="E72" s="7" t="s">
        <v>209</v>
      </c>
      <c r="F72" s="7" t="s">
        <v>210</v>
      </c>
      <c r="G72" s="7">
        <f>'5'!H62</f>
        <v>100</v>
      </c>
      <c r="H72" s="7">
        <f>'5'!I62</f>
        <v>500</v>
      </c>
      <c r="I72" s="7">
        <f>'5'!J62</f>
        <v>500</v>
      </c>
      <c r="J72" s="10"/>
    </row>
    <row r="73" spans="2:10">
      <c r="B73" s="51" t="s">
        <v>120</v>
      </c>
      <c r="C73" s="17" t="s">
        <v>143</v>
      </c>
      <c r="D73" s="17" t="s">
        <v>148</v>
      </c>
      <c r="E73" s="7" t="s">
        <v>168</v>
      </c>
      <c r="F73" s="7" t="s">
        <v>167</v>
      </c>
      <c r="G73" s="15">
        <f>G74</f>
        <v>14010.273000000001</v>
      </c>
      <c r="H73" s="15">
        <f t="shared" ref="H73:I73" si="22">H74</f>
        <v>1249.9000000000001</v>
      </c>
      <c r="I73" s="15">
        <f t="shared" si="22"/>
        <v>1249.9000000000001</v>
      </c>
      <c r="J73" s="10"/>
    </row>
    <row r="74" spans="2:10" ht="31.5">
      <c r="B74" s="20" t="s">
        <v>211</v>
      </c>
      <c r="C74" s="17" t="s">
        <v>143</v>
      </c>
      <c r="D74" s="17" t="s">
        <v>148</v>
      </c>
      <c r="E74" s="7" t="s">
        <v>212</v>
      </c>
      <c r="F74" s="7" t="s">
        <v>167</v>
      </c>
      <c r="G74" s="7">
        <f>SUM(G75,G77,G81,G83,G79)</f>
        <v>14010.273000000001</v>
      </c>
      <c r="H74" s="7">
        <f t="shared" ref="H74:I74" si="23">SUM(H75,H77,H81,H83)</f>
        <v>1249.9000000000001</v>
      </c>
      <c r="I74" s="7">
        <f t="shared" si="23"/>
        <v>1249.9000000000001</v>
      </c>
      <c r="J74" s="10"/>
    </row>
    <row r="75" spans="2:10">
      <c r="B75" s="20" t="s">
        <v>213</v>
      </c>
      <c r="C75" s="17" t="s">
        <v>143</v>
      </c>
      <c r="D75" s="17" t="s">
        <v>148</v>
      </c>
      <c r="E75" s="7" t="s">
        <v>214</v>
      </c>
      <c r="F75" s="7" t="s">
        <v>167</v>
      </c>
      <c r="G75" s="7">
        <f>G76</f>
        <v>2977.8</v>
      </c>
      <c r="H75" s="7">
        <f t="shared" ref="H75:I75" si="24">H76</f>
        <v>350</v>
      </c>
      <c r="I75" s="7">
        <f t="shared" si="24"/>
        <v>350</v>
      </c>
      <c r="J75" s="10"/>
    </row>
    <row r="76" spans="2:10" ht="31.5">
      <c r="B76" s="20" t="s">
        <v>175</v>
      </c>
      <c r="C76" s="17" t="s">
        <v>143</v>
      </c>
      <c r="D76" s="17" t="s">
        <v>148</v>
      </c>
      <c r="E76" s="7" t="s">
        <v>214</v>
      </c>
      <c r="F76" s="7" t="s">
        <v>176</v>
      </c>
      <c r="G76" s="7">
        <f>'5'!H66</f>
        <v>2977.8</v>
      </c>
      <c r="H76" s="7">
        <f>'5'!I66</f>
        <v>350</v>
      </c>
      <c r="I76" s="7">
        <f>'5'!J66</f>
        <v>350</v>
      </c>
      <c r="J76" s="10"/>
    </row>
    <row r="77" spans="2:10">
      <c r="B77" s="20" t="s">
        <v>215</v>
      </c>
      <c r="C77" s="17" t="s">
        <v>143</v>
      </c>
      <c r="D77" s="17" t="s">
        <v>148</v>
      </c>
      <c r="E77" s="7" t="s">
        <v>216</v>
      </c>
      <c r="F77" s="7" t="s">
        <v>167</v>
      </c>
      <c r="G77" s="7">
        <f>G78</f>
        <v>673</v>
      </c>
      <c r="H77" s="7">
        <f t="shared" ref="H77:I77" si="25">H78</f>
        <v>350</v>
      </c>
      <c r="I77" s="7">
        <f t="shared" si="25"/>
        <v>350</v>
      </c>
      <c r="J77" s="10"/>
    </row>
    <row r="78" spans="2:10" ht="31.5">
      <c r="B78" s="20" t="s">
        <v>175</v>
      </c>
      <c r="C78" s="17" t="s">
        <v>143</v>
      </c>
      <c r="D78" s="17" t="s">
        <v>148</v>
      </c>
      <c r="E78" s="7" t="s">
        <v>216</v>
      </c>
      <c r="F78" s="7" t="s">
        <v>176</v>
      </c>
      <c r="G78" s="7">
        <f>'5'!H68</f>
        <v>673</v>
      </c>
      <c r="H78" s="7">
        <f>'5'!I68</f>
        <v>350</v>
      </c>
      <c r="I78" s="7">
        <f>'5'!J68</f>
        <v>350</v>
      </c>
      <c r="J78" s="10"/>
    </row>
    <row r="79" spans="2:10" ht="18.75" customHeight="1">
      <c r="B79" s="20" t="str">
        <f>'5'!B69</f>
        <v>Приобретение имущества в муниципальную собственность</v>
      </c>
      <c r="C79" s="17" t="s">
        <v>143</v>
      </c>
      <c r="D79" s="17" t="s">
        <v>148</v>
      </c>
      <c r="E79" s="7" t="str">
        <f>'5'!F69</f>
        <v>97 0 00 20570</v>
      </c>
      <c r="F79" s="7"/>
      <c r="G79" s="7">
        <f>G80</f>
        <v>9400</v>
      </c>
      <c r="H79" s="7">
        <f t="shared" ref="H79:I79" si="26">H80</f>
        <v>0</v>
      </c>
      <c r="I79" s="7">
        <f t="shared" si="26"/>
        <v>0</v>
      </c>
      <c r="J79" s="10"/>
    </row>
    <row r="80" spans="2:10" ht="32.25" customHeight="1">
      <c r="B80" s="20" t="str">
        <f>'5'!B70</f>
        <v>Иные закупки товаров, работ и услуг для обеспечения государственных (муниципальных) нужд</v>
      </c>
      <c r="C80" s="17" t="s">
        <v>143</v>
      </c>
      <c r="D80" s="17" t="s">
        <v>148</v>
      </c>
      <c r="E80" s="7" t="str">
        <f>'5'!F70</f>
        <v>97 0 00 20570</v>
      </c>
      <c r="F80" s="17" t="s">
        <v>176</v>
      </c>
      <c r="G80" s="7">
        <f>'5'!H70</f>
        <v>9400</v>
      </c>
      <c r="H80" s="7">
        <f>'5'!I70</f>
        <v>0</v>
      </c>
      <c r="I80" s="7">
        <f>'5'!J70</f>
        <v>0</v>
      </c>
      <c r="J80" s="10"/>
    </row>
    <row r="81" spans="2:10" ht="31.5">
      <c r="B81" s="20" t="s">
        <v>217</v>
      </c>
      <c r="C81" s="17" t="s">
        <v>143</v>
      </c>
      <c r="D81" s="17" t="s">
        <v>148</v>
      </c>
      <c r="E81" s="7" t="s">
        <v>218</v>
      </c>
      <c r="F81" s="7" t="s">
        <v>167</v>
      </c>
      <c r="G81" s="7">
        <f>G82</f>
        <v>57.4</v>
      </c>
      <c r="H81" s="7">
        <f t="shared" ref="H81:I81" si="27">H82</f>
        <v>49.9</v>
      </c>
      <c r="I81" s="7">
        <f t="shared" si="27"/>
        <v>49.9</v>
      </c>
      <c r="J81" s="10"/>
    </row>
    <row r="82" spans="2:10">
      <c r="B82" s="20" t="s">
        <v>201</v>
      </c>
      <c r="C82" s="17" t="s">
        <v>143</v>
      </c>
      <c r="D82" s="17" t="s">
        <v>148</v>
      </c>
      <c r="E82" s="7" t="s">
        <v>218</v>
      </c>
      <c r="F82" s="7" t="s">
        <v>202</v>
      </c>
      <c r="G82" s="7">
        <f>'5'!H72</f>
        <v>57.4</v>
      </c>
      <c r="H82" s="7">
        <f>'5'!I72</f>
        <v>49.9</v>
      </c>
      <c r="I82" s="7">
        <f>'5'!J72</f>
        <v>49.9</v>
      </c>
      <c r="J82" s="10"/>
    </row>
    <row r="83" spans="2:10" s="61" customFormat="1" ht="31.5">
      <c r="B83" s="34" t="s">
        <v>219</v>
      </c>
      <c r="C83" s="56" t="s">
        <v>143</v>
      </c>
      <c r="D83" s="56" t="s">
        <v>148</v>
      </c>
      <c r="E83" s="57" t="s">
        <v>220</v>
      </c>
      <c r="F83" s="57" t="s">
        <v>167</v>
      </c>
      <c r="G83" s="57">
        <f>SUM(G84:G85)</f>
        <v>902.07299999999998</v>
      </c>
      <c r="H83" s="57">
        <f t="shared" ref="H83:I83" si="28">SUM(H84:H85)</f>
        <v>500</v>
      </c>
      <c r="I83" s="57">
        <f t="shared" si="28"/>
        <v>500</v>
      </c>
      <c r="J83" s="60"/>
    </row>
    <row r="84" spans="2:10" s="61" customFormat="1">
      <c r="B84" s="34" t="s">
        <v>221</v>
      </c>
      <c r="C84" s="56" t="s">
        <v>143</v>
      </c>
      <c r="D84" s="56" t="s">
        <v>148</v>
      </c>
      <c r="E84" s="57" t="s">
        <v>220</v>
      </c>
      <c r="F84" s="57" t="s">
        <v>222</v>
      </c>
      <c r="G84" s="57">
        <f>'5'!H77</f>
        <v>110.07300000000001</v>
      </c>
      <c r="H84" s="57">
        <f>'5'!I77</f>
        <v>50</v>
      </c>
      <c r="I84" s="57">
        <f>'5'!J77</f>
        <v>50</v>
      </c>
      <c r="J84" s="60"/>
    </row>
    <row r="85" spans="2:10" s="61" customFormat="1">
      <c r="B85" s="34" t="s">
        <v>201</v>
      </c>
      <c r="C85" s="56" t="s">
        <v>143</v>
      </c>
      <c r="D85" s="56" t="s">
        <v>148</v>
      </c>
      <c r="E85" s="57" t="s">
        <v>220</v>
      </c>
      <c r="F85" s="57" t="s">
        <v>202</v>
      </c>
      <c r="G85" s="57">
        <f>'5'!H78</f>
        <v>792</v>
      </c>
      <c r="H85" s="57">
        <f>'5'!I78</f>
        <v>450</v>
      </c>
      <c r="I85" s="57">
        <f>'5'!J78</f>
        <v>450</v>
      </c>
      <c r="J85" s="60"/>
    </row>
    <row r="86" spans="2:10" ht="31.5">
      <c r="B86" s="21" t="s">
        <v>121</v>
      </c>
      <c r="C86" s="17" t="s">
        <v>144</v>
      </c>
      <c r="D86" s="17" t="s">
        <v>167</v>
      </c>
      <c r="E86" s="7" t="s">
        <v>168</v>
      </c>
      <c r="F86" s="7" t="s">
        <v>167</v>
      </c>
      <c r="G86" s="15">
        <f>G87+G93</f>
        <v>1030</v>
      </c>
      <c r="H86" s="15">
        <f t="shared" ref="H86:I86" si="29">H87+H93</f>
        <v>1250</v>
      </c>
      <c r="I86" s="15">
        <f t="shared" si="29"/>
        <v>1250</v>
      </c>
      <c r="J86" s="10"/>
    </row>
    <row r="87" spans="2:10" ht="31.5" customHeight="1">
      <c r="B87" s="51" t="s">
        <v>122</v>
      </c>
      <c r="C87" s="17" t="s">
        <v>144</v>
      </c>
      <c r="D87" s="17" t="s">
        <v>149</v>
      </c>
      <c r="E87" s="7" t="s">
        <v>168</v>
      </c>
      <c r="F87" s="7" t="s">
        <v>167</v>
      </c>
      <c r="G87" s="7">
        <f>G88</f>
        <v>800</v>
      </c>
      <c r="H87" s="7">
        <f t="shared" ref="H87:I87" si="30">H88</f>
        <v>1250</v>
      </c>
      <c r="I87" s="7">
        <f t="shared" si="30"/>
        <v>1250</v>
      </c>
      <c r="J87" s="10"/>
    </row>
    <row r="88" spans="2:10" ht="31.5">
      <c r="B88" s="20" t="s">
        <v>223</v>
      </c>
      <c r="C88" s="17" t="s">
        <v>144</v>
      </c>
      <c r="D88" s="17" t="s">
        <v>149</v>
      </c>
      <c r="E88" s="7" t="s">
        <v>224</v>
      </c>
      <c r="F88" s="7" t="s">
        <v>167</v>
      </c>
      <c r="G88" s="7">
        <f>SUM(G89,G91)</f>
        <v>800</v>
      </c>
      <c r="H88" s="7">
        <f t="shared" ref="H88:I88" si="31">SUM(H89,H91)</f>
        <v>1250</v>
      </c>
      <c r="I88" s="7">
        <f t="shared" si="31"/>
        <v>1250</v>
      </c>
      <c r="J88" s="10"/>
    </row>
    <row r="89" spans="2:10" ht="31.5">
      <c r="B89" s="20" t="s">
        <v>225</v>
      </c>
      <c r="C89" s="17" t="s">
        <v>144</v>
      </c>
      <c r="D89" s="17" t="s">
        <v>149</v>
      </c>
      <c r="E89" s="7" t="s">
        <v>226</v>
      </c>
      <c r="F89" s="7" t="s">
        <v>167</v>
      </c>
      <c r="G89" s="7">
        <f>G90</f>
        <v>500</v>
      </c>
      <c r="H89" s="7">
        <f t="shared" ref="H89:I89" si="32">H90</f>
        <v>1000</v>
      </c>
      <c r="I89" s="7">
        <f t="shared" si="32"/>
        <v>1000</v>
      </c>
      <c r="J89" s="10"/>
    </row>
    <row r="90" spans="2:10" ht="31.5">
      <c r="B90" s="20" t="s">
        <v>175</v>
      </c>
      <c r="C90" s="17" t="s">
        <v>144</v>
      </c>
      <c r="D90" s="17" t="s">
        <v>149</v>
      </c>
      <c r="E90" s="7" t="s">
        <v>226</v>
      </c>
      <c r="F90" s="7" t="s">
        <v>176</v>
      </c>
      <c r="G90" s="7">
        <f>'5'!H83</f>
        <v>500</v>
      </c>
      <c r="H90" s="7">
        <f>'5'!I83</f>
        <v>1000</v>
      </c>
      <c r="I90" s="7">
        <f>'5'!J83</f>
        <v>1000</v>
      </c>
      <c r="J90" s="10"/>
    </row>
    <row r="91" spans="2:10" ht="31.5" customHeight="1">
      <c r="B91" s="20" t="s">
        <v>227</v>
      </c>
      <c r="C91" s="17" t="s">
        <v>144</v>
      </c>
      <c r="D91" s="17" t="s">
        <v>149</v>
      </c>
      <c r="E91" s="7" t="s">
        <v>228</v>
      </c>
      <c r="F91" s="7" t="s">
        <v>167</v>
      </c>
      <c r="G91" s="7">
        <f>G92</f>
        <v>300</v>
      </c>
      <c r="H91" s="7">
        <f t="shared" ref="H91:I91" si="33">H92</f>
        <v>250</v>
      </c>
      <c r="I91" s="7">
        <f t="shared" si="33"/>
        <v>250</v>
      </c>
      <c r="J91" s="10"/>
    </row>
    <row r="92" spans="2:10" ht="31.5">
      <c r="B92" s="20" t="s">
        <v>175</v>
      </c>
      <c r="C92" s="17" t="s">
        <v>144</v>
      </c>
      <c r="D92" s="17" t="s">
        <v>149</v>
      </c>
      <c r="E92" s="7" t="s">
        <v>228</v>
      </c>
      <c r="F92" s="7" t="s">
        <v>176</v>
      </c>
      <c r="G92" s="7">
        <f>'5'!H85</f>
        <v>300</v>
      </c>
      <c r="H92" s="7">
        <f>'5'!I85</f>
        <v>250</v>
      </c>
      <c r="I92" s="7">
        <f>'5'!J85</f>
        <v>250</v>
      </c>
      <c r="J92" s="10"/>
    </row>
    <row r="93" spans="2:10" ht="31.5">
      <c r="B93" s="51" t="s">
        <v>389</v>
      </c>
      <c r="C93" s="17" t="s">
        <v>144</v>
      </c>
      <c r="D93" s="17" t="s">
        <v>388</v>
      </c>
      <c r="E93" s="7"/>
      <c r="F93" s="7"/>
      <c r="G93" s="7">
        <f>G94</f>
        <v>230</v>
      </c>
      <c r="H93" s="7">
        <f t="shared" ref="H93:I95" si="34">H94</f>
        <v>0</v>
      </c>
      <c r="I93" s="7">
        <f t="shared" si="34"/>
        <v>0</v>
      </c>
      <c r="J93" s="10"/>
    </row>
    <row r="94" spans="2:10" ht="31.5">
      <c r="B94" s="20" t="s">
        <v>223</v>
      </c>
      <c r="C94" s="17" t="s">
        <v>144</v>
      </c>
      <c r="D94" s="17" t="s">
        <v>388</v>
      </c>
      <c r="E94" s="7" t="s">
        <v>224</v>
      </c>
      <c r="F94" s="7"/>
      <c r="G94" s="7">
        <f>G95+G98</f>
        <v>230</v>
      </c>
      <c r="H94" s="7">
        <f t="shared" ref="H94:I94" si="35">H95+H98</f>
        <v>0</v>
      </c>
      <c r="I94" s="7">
        <f t="shared" si="35"/>
        <v>0</v>
      </c>
      <c r="J94" s="10"/>
    </row>
    <row r="95" spans="2:10" ht="31.5">
      <c r="B95" s="20" t="s">
        <v>390</v>
      </c>
      <c r="C95" s="17" t="s">
        <v>144</v>
      </c>
      <c r="D95" s="17" t="s">
        <v>388</v>
      </c>
      <c r="E95" s="7" t="s">
        <v>391</v>
      </c>
      <c r="F95" s="7"/>
      <c r="G95" s="7">
        <f>G96</f>
        <v>218.5</v>
      </c>
      <c r="H95" s="7">
        <f t="shared" si="34"/>
        <v>0</v>
      </c>
      <c r="I95" s="7">
        <f t="shared" si="34"/>
        <v>0</v>
      </c>
      <c r="J95" s="10"/>
    </row>
    <row r="96" spans="2:10" ht="31.5">
      <c r="B96" s="20" t="s">
        <v>175</v>
      </c>
      <c r="C96" s="17" t="s">
        <v>144</v>
      </c>
      <c r="D96" s="17" t="s">
        <v>388</v>
      </c>
      <c r="E96" s="7" t="s">
        <v>391</v>
      </c>
      <c r="F96" s="17">
        <v>240</v>
      </c>
      <c r="G96" s="7">
        <f>'5'!H89</f>
        <v>218.5</v>
      </c>
      <c r="H96" s="7">
        <f>'5'!I89</f>
        <v>0</v>
      </c>
      <c r="I96" s="7">
        <f>'5'!J89</f>
        <v>0</v>
      </c>
      <c r="J96" s="10"/>
    </row>
    <row r="97" spans="2:10" ht="47.25">
      <c r="B97" s="20" t="s">
        <v>420</v>
      </c>
      <c r="C97" s="17" t="s">
        <v>144</v>
      </c>
      <c r="D97" s="17" t="s">
        <v>388</v>
      </c>
      <c r="E97" s="7" t="s">
        <v>421</v>
      </c>
      <c r="F97" s="17"/>
      <c r="G97" s="7">
        <f>G98</f>
        <v>11.5</v>
      </c>
      <c r="H97" s="7">
        <f t="shared" ref="H97:I97" si="36">H98</f>
        <v>0</v>
      </c>
      <c r="I97" s="7">
        <f t="shared" si="36"/>
        <v>0</v>
      </c>
      <c r="J97" s="10"/>
    </row>
    <row r="98" spans="2:10" ht="31.5">
      <c r="B98" s="20" t="s">
        <v>175</v>
      </c>
      <c r="C98" s="17" t="s">
        <v>144</v>
      </c>
      <c r="D98" s="17" t="s">
        <v>388</v>
      </c>
      <c r="E98" s="7" t="s">
        <v>421</v>
      </c>
      <c r="F98" s="17" t="s">
        <v>176</v>
      </c>
      <c r="G98" s="7">
        <f>'5'!H91</f>
        <v>11.5</v>
      </c>
      <c r="H98" s="7">
        <f>'5'!I91</f>
        <v>0</v>
      </c>
      <c r="I98" s="7">
        <f>'5'!J91</f>
        <v>0</v>
      </c>
      <c r="J98" s="10"/>
    </row>
    <row r="99" spans="2:10">
      <c r="B99" s="21" t="s">
        <v>123</v>
      </c>
      <c r="C99" s="17" t="s">
        <v>145</v>
      </c>
      <c r="D99" s="17" t="s">
        <v>167</v>
      </c>
      <c r="E99" s="7" t="s">
        <v>168</v>
      </c>
      <c r="F99" s="7" t="s">
        <v>167</v>
      </c>
      <c r="G99" s="15">
        <f>SUM(G100,G106,G111,G121)</f>
        <v>31902.5</v>
      </c>
      <c r="H99" s="15">
        <f t="shared" ref="H99:I99" si="37">SUM(H100,H106,H111,H121)</f>
        <v>8600</v>
      </c>
      <c r="I99" s="15">
        <f t="shared" si="37"/>
        <v>8600</v>
      </c>
      <c r="J99" s="10"/>
    </row>
    <row r="100" spans="2:10">
      <c r="B100" s="51" t="s">
        <v>126</v>
      </c>
      <c r="C100" s="17" t="s">
        <v>145</v>
      </c>
      <c r="D100" s="17" t="s">
        <v>152</v>
      </c>
      <c r="E100" s="7" t="s">
        <v>168</v>
      </c>
      <c r="F100" s="7" t="s">
        <v>167</v>
      </c>
      <c r="G100" s="15">
        <f>G101</f>
        <v>181.89999999999998</v>
      </c>
      <c r="H100" s="15">
        <f t="shared" ref="H100:I100" si="38">H101</f>
        <v>0</v>
      </c>
      <c r="I100" s="15">
        <f t="shared" si="38"/>
        <v>0</v>
      </c>
      <c r="J100" s="10"/>
    </row>
    <row r="101" spans="2:10">
      <c r="B101" s="20" t="s">
        <v>229</v>
      </c>
      <c r="C101" s="17" t="s">
        <v>145</v>
      </c>
      <c r="D101" s="17" t="s">
        <v>152</v>
      </c>
      <c r="E101" s="7" t="s">
        <v>230</v>
      </c>
      <c r="F101" s="7" t="s">
        <v>167</v>
      </c>
      <c r="G101" s="7">
        <f>SUM(G102,G104)</f>
        <v>181.89999999999998</v>
      </c>
      <c r="H101" s="7">
        <f t="shared" ref="H101:I101" si="39">SUM(H102,H104)</f>
        <v>0</v>
      </c>
      <c r="I101" s="7">
        <f t="shared" si="39"/>
        <v>0</v>
      </c>
      <c r="J101" s="10"/>
    </row>
    <row r="102" spans="2:10" ht="47.25">
      <c r="B102" s="20" t="s">
        <v>231</v>
      </c>
      <c r="C102" s="17" t="s">
        <v>145</v>
      </c>
      <c r="D102" s="17" t="s">
        <v>152</v>
      </c>
      <c r="E102" s="7" t="s">
        <v>232</v>
      </c>
      <c r="F102" s="7" t="s">
        <v>167</v>
      </c>
      <c r="G102" s="7">
        <f>G103</f>
        <v>180.09999999999997</v>
      </c>
      <c r="H102" s="7">
        <f t="shared" ref="H102:I102" si="40">H103</f>
        <v>0</v>
      </c>
      <c r="I102" s="7">
        <f t="shared" si="40"/>
        <v>0</v>
      </c>
      <c r="J102" s="10"/>
    </row>
    <row r="103" spans="2:10" ht="31.5">
      <c r="B103" s="20" t="s">
        <v>175</v>
      </c>
      <c r="C103" s="17" t="s">
        <v>145</v>
      </c>
      <c r="D103" s="17" t="s">
        <v>152</v>
      </c>
      <c r="E103" s="7" t="s">
        <v>232</v>
      </c>
      <c r="F103" s="7" t="s">
        <v>176</v>
      </c>
      <c r="G103" s="7">
        <f>'5'!H96</f>
        <v>180.09999999999997</v>
      </c>
      <c r="H103" s="7">
        <f>'5'!I96</f>
        <v>0</v>
      </c>
      <c r="I103" s="7">
        <f>'5'!J96</f>
        <v>0</v>
      </c>
      <c r="J103" s="10"/>
    </row>
    <row r="104" spans="2:10" ht="47.25">
      <c r="B104" s="20" t="s">
        <v>233</v>
      </c>
      <c r="C104" s="17" t="s">
        <v>145</v>
      </c>
      <c r="D104" s="17" t="s">
        <v>152</v>
      </c>
      <c r="E104" s="7" t="s">
        <v>234</v>
      </c>
      <c r="F104" s="7" t="s">
        <v>167</v>
      </c>
      <c r="G104" s="7">
        <f>G105</f>
        <v>1.8000000000000003</v>
      </c>
      <c r="H104" s="7">
        <f t="shared" ref="H104:I104" si="41">H105</f>
        <v>0</v>
      </c>
      <c r="I104" s="7">
        <f t="shared" si="41"/>
        <v>0</v>
      </c>
      <c r="J104" s="10"/>
    </row>
    <row r="105" spans="2:10" ht="31.5">
      <c r="B105" s="20" t="s">
        <v>175</v>
      </c>
      <c r="C105" s="17" t="s">
        <v>145</v>
      </c>
      <c r="D105" s="17" t="s">
        <v>152</v>
      </c>
      <c r="E105" s="7" t="s">
        <v>234</v>
      </c>
      <c r="F105" s="7" t="s">
        <v>176</v>
      </c>
      <c r="G105" s="7">
        <f>'5'!H98</f>
        <v>1.8000000000000003</v>
      </c>
      <c r="H105" s="7">
        <f>'5'!I98</f>
        <v>0</v>
      </c>
      <c r="I105" s="7">
        <f>'5'!J98</f>
        <v>0</v>
      </c>
      <c r="J105" s="10"/>
    </row>
    <row r="106" spans="2:10">
      <c r="B106" s="51" t="s">
        <v>124</v>
      </c>
      <c r="C106" s="17" t="s">
        <v>145</v>
      </c>
      <c r="D106" s="17" t="s">
        <v>150</v>
      </c>
      <c r="E106" s="7" t="s">
        <v>168</v>
      </c>
      <c r="F106" s="7" t="s">
        <v>167</v>
      </c>
      <c r="G106" s="15">
        <f>G107</f>
        <v>1300</v>
      </c>
      <c r="H106" s="15">
        <f t="shared" ref="H106:I106" si="42">H107</f>
        <v>1500</v>
      </c>
      <c r="I106" s="15">
        <f t="shared" si="42"/>
        <v>1500</v>
      </c>
      <c r="J106" s="10"/>
    </row>
    <row r="107" spans="2:10" ht="63">
      <c r="B107" s="21" t="s">
        <v>347</v>
      </c>
      <c r="C107" s="17" t="s">
        <v>145</v>
      </c>
      <c r="D107" s="17" t="s">
        <v>150</v>
      </c>
      <c r="E107" s="7" t="s">
        <v>236</v>
      </c>
      <c r="F107" s="7" t="s">
        <v>167</v>
      </c>
      <c r="G107" s="7">
        <f t="shared" ref="G107:I109" si="43">G108</f>
        <v>1300</v>
      </c>
      <c r="H107" s="7">
        <f t="shared" si="43"/>
        <v>1500</v>
      </c>
      <c r="I107" s="7">
        <f t="shared" si="43"/>
        <v>1500</v>
      </c>
      <c r="J107" s="10"/>
    </row>
    <row r="108" spans="2:10" ht="31.5">
      <c r="B108" s="20" t="s">
        <v>237</v>
      </c>
      <c r="C108" s="17" t="s">
        <v>145</v>
      </c>
      <c r="D108" s="17" t="s">
        <v>150</v>
      </c>
      <c r="E108" s="7" t="s">
        <v>238</v>
      </c>
      <c r="F108" s="7" t="s">
        <v>167</v>
      </c>
      <c r="G108" s="7">
        <f t="shared" si="43"/>
        <v>1300</v>
      </c>
      <c r="H108" s="7">
        <f t="shared" si="43"/>
        <v>1500</v>
      </c>
      <c r="I108" s="7">
        <f t="shared" si="43"/>
        <v>1500</v>
      </c>
      <c r="J108" s="10"/>
    </row>
    <row r="109" spans="2:10" s="61" customFormat="1" ht="31.5">
      <c r="B109" s="34" t="s">
        <v>239</v>
      </c>
      <c r="C109" s="56" t="s">
        <v>145</v>
      </c>
      <c r="D109" s="56" t="s">
        <v>150</v>
      </c>
      <c r="E109" s="57" t="s">
        <v>240</v>
      </c>
      <c r="F109" s="57" t="s">
        <v>167</v>
      </c>
      <c r="G109" s="57">
        <f>G110</f>
        <v>1300</v>
      </c>
      <c r="H109" s="57">
        <f t="shared" si="43"/>
        <v>1500</v>
      </c>
      <c r="I109" s="57">
        <f t="shared" si="43"/>
        <v>1500</v>
      </c>
      <c r="J109" s="60"/>
    </row>
    <row r="110" spans="2:10">
      <c r="B110" s="20" t="s">
        <v>325</v>
      </c>
      <c r="C110" s="17" t="s">
        <v>145</v>
      </c>
      <c r="D110" s="17" t="s">
        <v>150</v>
      </c>
      <c r="E110" s="7" t="s">
        <v>240</v>
      </c>
      <c r="F110" s="17" t="s">
        <v>324</v>
      </c>
      <c r="G110" s="7">
        <f>'5'!H103</f>
        <v>1300</v>
      </c>
      <c r="H110" s="7">
        <f>'5'!I103</f>
        <v>1500</v>
      </c>
      <c r="I110" s="7">
        <f>'5'!J103</f>
        <v>1500</v>
      </c>
      <c r="J110" s="10"/>
    </row>
    <row r="111" spans="2:10">
      <c r="B111" s="51" t="s">
        <v>125</v>
      </c>
      <c r="C111" s="17" t="s">
        <v>145</v>
      </c>
      <c r="D111" s="17" t="s">
        <v>151</v>
      </c>
      <c r="E111" s="7" t="s">
        <v>168</v>
      </c>
      <c r="F111" s="7" t="s">
        <v>167</v>
      </c>
      <c r="G111" s="59">
        <f t="shared" ref="G111:I119" si="44">G112</f>
        <v>30320.6</v>
      </c>
      <c r="H111" s="59">
        <f t="shared" si="44"/>
        <v>7000</v>
      </c>
      <c r="I111" s="59">
        <f t="shared" si="44"/>
        <v>7000</v>
      </c>
      <c r="J111" s="10"/>
    </row>
    <row r="112" spans="2:10" ht="63">
      <c r="B112" s="21" t="s">
        <v>235</v>
      </c>
      <c r="C112" s="17" t="s">
        <v>145</v>
      </c>
      <c r="D112" s="17" t="s">
        <v>151</v>
      </c>
      <c r="E112" s="7" t="s">
        <v>236</v>
      </c>
      <c r="F112" s="7" t="s">
        <v>167</v>
      </c>
      <c r="G112" s="7">
        <f>G118+G113</f>
        <v>30320.6</v>
      </c>
      <c r="H112" s="7">
        <f t="shared" ref="H112:I112" si="45">H118+H113</f>
        <v>7000</v>
      </c>
      <c r="I112" s="7">
        <f t="shared" si="45"/>
        <v>7000</v>
      </c>
      <c r="J112" s="10"/>
    </row>
    <row r="113" spans="2:10" ht="31.5">
      <c r="B113" s="20" t="str">
        <f>'5'!B106</f>
        <v>Основное мероприятие 1 "Ремонт автомобильных дорог и искусственных сооружений»</v>
      </c>
      <c r="C113" s="17" t="s">
        <v>145</v>
      </c>
      <c r="D113" s="17" t="s">
        <v>151</v>
      </c>
      <c r="E113" s="7" t="s">
        <v>448</v>
      </c>
      <c r="F113" s="7"/>
      <c r="G113" s="7">
        <f>G114+G116</f>
        <v>24020.6</v>
      </c>
      <c r="H113" s="7">
        <f t="shared" ref="H113:I113" si="46">H114+H116</f>
        <v>1567.5</v>
      </c>
      <c r="I113" s="7">
        <f t="shared" si="46"/>
        <v>0</v>
      </c>
      <c r="J113" s="10"/>
    </row>
    <row r="114" spans="2:10" ht="31.5">
      <c r="B114" s="20" t="str">
        <f>'5'!B107</f>
        <v>Мероприятия по ремонту улично-дорожной сети  в г. Вытегра</v>
      </c>
      <c r="C114" s="17" t="s">
        <v>145</v>
      </c>
      <c r="D114" s="17" t="s">
        <v>151</v>
      </c>
      <c r="E114" s="7" t="s">
        <v>451</v>
      </c>
      <c r="F114" s="7"/>
      <c r="G114" s="7">
        <f>G115</f>
        <v>23300</v>
      </c>
      <c r="H114" s="7">
        <f t="shared" ref="H114:I114" si="47">H115</f>
        <v>0</v>
      </c>
      <c r="I114" s="7">
        <f t="shared" si="47"/>
        <v>0</v>
      </c>
      <c r="J114" s="10"/>
    </row>
    <row r="115" spans="2:10" ht="31.5">
      <c r="B115" s="20" t="str">
        <f>'5'!B108</f>
        <v>Иные закупки товаров, работ и услуг для обеспечения государственных (муниципальных) нужд</v>
      </c>
      <c r="C115" s="17" t="s">
        <v>145</v>
      </c>
      <c r="D115" s="17" t="s">
        <v>151</v>
      </c>
      <c r="E115" s="7" t="s">
        <v>451</v>
      </c>
      <c r="F115" s="17">
        <v>240</v>
      </c>
      <c r="G115" s="7">
        <f>'5'!H108</f>
        <v>23300</v>
      </c>
      <c r="H115" s="7">
        <f>'5'!I108</f>
        <v>0</v>
      </c>
      <c r="I115" s="7">
        <f>'5'!J108</f>
        <v>0</v>
      </c>
      <c r="J115" s="10"/>
    </row>
    <row r="116" spans="2:10" ht="31.5">
      <c r="B116" s="20" t="str">
        <f>'5'!B109</f>
        <v>Софинансирование мероприятий по  ремонту улично-дорожной сети в г.Вытегра</v>
      </c>
      <c r="C116" s="17" t="s">
        <v>145</v>
      </c>
      <c r="D116" s="17" t="s">
        <v>151</v>
      </c>
      <c r="E116" s="7" t="s">
        <v>452</v>
      </c>
      <c r="F116" s="17"/>
      <c r="G116" s="7">
        <f>G117</f>
        <v>720.6</v>
      </c>
      <c r="H116" s="7">
        <f t="shared" ref="H116:I116" si="48">H117</f>
        <v>1567.5</v>
      </c>
      <c r="I116" s="7">
        <f t="shared" si="48"/>
        <v>0</v>
      </c>
      <c r="J116" s="10"/>
    </row>
    <row r="117" spans="2:10" ht="31.5">
      <c r="B117" s="20" t="str">
        <f>'5'!B110</f>
        <v>Иные закупки товаров, работ и услуг для обеспечения государственных (муниципальных) нужд</v>
      </c>
      <c r="C117" s="17" t="s">
        <v>145</v>
      </c>
      <c r="D117" s="17" t="s">
        <v>151</v>
      </c>
      <c r="E117" s="7" t="s">
        <v>452</v>
      </c>
      <c r="F117" s="17">
        <v>240</v>
      </c>
      <c r="G117" s="7">
        <f>'5'!H110</f>
        <v>720.6</v>
      </c>
      <c r="H117" s="7">
        <f>'5'!I110</f>
        <v>1567.5</v>
      </c>
      <c r="I117" s="7">
        <f>'5'!J110</f>
        <v>0</v>
      </c>
      <c r="J117" s="10"/>
    </row>
    <row r="118" spans="2:10" ht="31.5">
      <c r="B118" s="20" t="s">
        <v>241</v>
      </c>
      <c r="C118" s="17" t="s">
        <v>145</v>
      </c>
      <c r="D118" s="17" t="s">
        <v>151</v>
      </c>
      <c r="E118" s="7" t="s">
        <v>242</v>
      </c>
      <c r="F118" s="7" t="s">
        <v>167</v>
      </c>
      <c r="G118" s="7">
        <f t="shared" si="44"/>
        <v>6300</v>
      </c>
      <c r="H118" s="7">
        <f t="shared" si="44"/>
        <v>5432.5</v>
      </c>
      <c r="I118" s="7">
        <f t="shared" si="44"/>
        <v>7000</v>
      </c>
      <c r="J118" s="10"/>
    </row>
    <row r="119" spans="2:10" ht="31.5" customHeight="1">
      <c r="B119" s="20" t="s">
        <v>243</v>
      </c>
      <c r="C119" s="17" t="s">
        <v>145</v>
      </c>
      <c r="D119" s="17" t="s">
        <v>151</v>
      </c>
      <c r="E119" s="7" t="s">
        <v>244</v>
      </c>
      <c r="F119" s="7" t="s">
        <v>167</v>
      </c>
      <c r="G119" s="7">
        <f>G120</f>
        <v>6300</v>
      </c>
      <c r="H119" s="7">
        <f t="shared" si="44"/>
        <v>5432.5</v>
      </c>
      <c r="I119" s="7">
        <f t="shared" si="44"/>
        <v>7000</v>
      </c>
      <c r="J119" s="10"/>
    </row>
    <row r="120" spans="2:10" ht="31.5">
      <c r="B120" s="20" t="s">
        <v>175</v>
      </c>
      <c r="C120" s="17" t="s">
        <v>145</v>
      </c>
      <c r="D120" s="17" t="s">
        <v>151</v>
      </c>
      <c r="E120" s="7" t="s">
        <v>244</v>
      </c>
      <c r="F120" s="7" t="s">
        <v>176</v>
      </c>
      <c r="G120" s="7">
        <f>'5'!H113</f>
        <v>6300</v>
      </c>
      <c r="H120" s="7">
        <f>'5'!I113</f>
        <v>5432.5</v>
      </c>
      <c r="I120" s="7">
        <f>'5'!J113</f>
        <v>7000</v>
      </c>
      <c r="J120" s="10"/>
    </row>
    <row r="121" spans="2:10">
      <c r="B121" s="20" t="s">
        <v>127</v>
      </c>
      <c r="C121" s="17" t="s">
        <v>145</v>
      </c>
      <c r="D121" s="17" t="s">
        <v>153</v>
      </c>
      <c r="E121" s="7" t="s">
        <v>168</v>
      </c>
      <c r="F121" s="7" t="s">
        <v>167</v>
      </c>
      <c r="G121" s="15">
        <f t="shared" ref="G121:I123" si="49">G122</f>
        <v>100</v>
      </c>
      <c r="H121" s="15">
        <f t="shared" si="49"/>
        <v>100</v>
      </c>
      <c r="I121" s="15">
        <f t="shared" si="49"/>
        <v>100</v>
      </c>
      <c r="J121" s="10"/>
    </row>
    <row r="122" spans="2:10" ht="31.5">
      <c r="B122" s="20" t="s">
        <v>211</v>
      </c>
      <c r="C122" s="17" t="s">
        <v>145</v>
      </c>
      <c r="D122" s="17" t="s">
        <v>153</v>
      </c>
      <c r="E122" s="7" t="s">
        <v>212</v>
      </c>
      <c r="F122" s="7" t="s">
        <v>167</v>
      </c>
      <c r="G122" s="7">
        <f t="shared" si="49"/>
        <v>100</v>
      </c>
      <c r="H122" s="7">
        <f t="shared" si="49"/>
        <v>100</v>
      </c>
      <c r="I122" s="7">
        <f t="shared" si="49"/>
        <v>100</v>
      </c>
      <c r="J122" s="10"/>
    </row>
    <row r="123" spans="2:10" ht="31.5">
      <c r="B123" s="20" t="s">
        <v>245</v>
      </c>
      <c r="C123" s="17" t="s">
        <v>145</v>
      </c>
      <c r="D123" s="17" t="s">
        <v>153</v>
      </c>
      <c r="E123" s="7" t="s">
        <v>246</v>
      </c>
      <c r="F123" s="7" t="s">
        <v>167</v>
      </c>
      <c r="G123" s="7">
        <f>G124</f>
        <v>100</v>
      </c>
      <c r="H123" s="7">
        <f t="shared" si="49"/>
        <v>100</v>
      </c>
      <c r="I123" s="7">
        <f t="shared" si="49"/>
        <v>100</v>
      </c>
      <c r="J123" s="10"/>
    </row>
    <row r="124" spans="2:10" ht="31.5">
      <c r="B124" s="20" t="s">
        <v>175</v>
      </c>
      <c r="C124" s="17" t="s">
        <v>145</v>
      </c>
      <c r="D124" s="17" t="s">
        <v>153</v>
      </c>
      <c r="E124" s="7" t="s">
        <v>246</v>
      </c>
      <c r="F124" s="7" t="s">
        <v>176</v>
      </c>
      <c r="G124" s="7">
        <f>'5'!H117</f>
        <v>100</v>
      </c>
      <c r="H124" s="7">
        <f>'5'!I117</f>
        <v>100</v>
      </c>
      <c r="I124" s="7">
        <f>'5'!J117</f>
        <v>100</v>
      </c>
      <c r="J124" s="10"/>
    </row>
    <row r="125" spans="2:10">
      <c r="B125" s="21" t="s">
        <v>128</v>
      </c>
      <c r="C125" s="17" t="s">
        <v>152</v>
      </c>
      <c r="D125" s="17" t="s">
        <v>167</v>
      </c>
      <c r="E125" s="7" t="s">
        <v>168</v>
      </c>
      <c r="F125" s="7" t="s">
        <v>167</v>
      </c>
      <c r="G125" s="15">
        <f>SUM(G126,G135,G166)</f>
        <v>181373.2</v>
      </c>
      <c r="H125" s="15">
        <f t="shared" ref="H125:I125" si="50">SUM(H126,H135,H166)</f>
        <v>24485.1</v>
      </c>
      <c r="I125" s="15">
        <f t="shared" si="50"/>
        <v>27147.7</v>
      </c>
      <c r="J125" s="10"/>
    </row>
    <row r="126" spans="2:10">
      <c r="B126" s="51" t="s">
        <v>129</v>
      </c>
      <c r="C126" s="17" t="s">
        <v>152</v>
      </c>
      <c r="D126" s="17" t="s">
        <v>143</v>
      </c>
      <c r="E126" s="7" t="s">
        <v>168</v>
      </c>
      <c r="F126" s="7" t="s">
        <v>167</v>
      </c>
      <c r="G126" s="15">
        <f>G127</f>
        <v>4368</v>
      </c>
      <c r="H126" s="15">
        <f t="shared" ref="H126:I127" si="51">H127</f>
        <v>3868</v>
      </c>
      <c r="I126" s="15">
        <f t="shared" si="51"/>
        <v>3868</v>
      </c>
      <c r="J126" s="10"/>
    </row>
    <row r="127" spans="2:10">
      <c r="B127" s="16" t="s">
        <v>247</v>
      </c>
      <c r="C127" s="17" t="s">
        <v>152</v>
      </c>
      <c r="D127" s="17" t="s">
        <v>143</v>
      </c>
      <c r="E127" s="7" t="s">
        <v>248</v>
      </c>
      <c r="F127" s="7" t="s">
        <v>167</v>
      </c>
      <c r="G127" s="7">
        <f>G128</f>
        <v>4368</v>
      </c>
      <c r="H127" s="7">
        <f t="shared" si="51"/>
        <v>3868</v>
      </c>
      <c r="I127" s="7">
        <f t="shared" si="51"/>
        <v>3868</v>
      </c>
      <c r="J127" s="10"/>
    </row>
    <row r="128" spans="2:10">
      <c r="B128" s="20" t="s">
        <v>249</v>
      </c>
      <c r="C128" s="17" t="s">
        <v>152</v>
      </c>
      <c r="D128" s="17" t="s">
        <v>143</v>
      </c>
      <c r="E128" s="7" t="s">
        <v>250</v>
      </c>
      <c r="F128" s="7" t="s">
        <v>167</v>
      </c>
      <c r="G128" s="7">
        <f>SUM(G129,G131,G133)</f>
        <v>4368</v>
      </c>
      <c r="H128" s="7">
        <f t="shared" ref="H128:I128" si="52">SUM(H129,H131,H133)</f>
        <v>3868</v>
      </c>
      <c r="I128" s="7">
        <f t="shared" si="52"/>
        <v>3868</v>
      </c>
      <c r="J128" s="10"/>
    </row>
    <row r="129" spans="2:10" ht="31.5">
      <c r="B129" s="20" t="s">
        <v>251</v>
      </c>
      <c r="C129" s="17" t="s">
        <v>152</v>
      </c>
      <c r="D129" s="17" t="s">
        <v>143</v>
      </c>
      <c r="E129" s="7" t="s">
        <v>252</v>
      </c>
      <c r="F129" s="7" t="s">
        <v>167</v>
      </c>
      <c r="G129" s="7">
        <f>G130</f>
        <v>0</v>
      </c>
      <c r="H129" s="7">
        <f t="shared" ref="H129:I129" si="53">H130</f>
        <v>1000</v>
      </c>
      <c r="I129" s="7">
        <f t="shared" si="53"/>
        <v>1000</v>
      </c>
      <c r="J129" s="10"/>
    </row>
    <row r="130" spans="2:10" ht="31.5">
      <c r="B130" s="20" t="s">
        <v>175</v>
      </c>
      <c r="C130" s="17" t="s">
        <v>152</v>
      </c>
      <c r="D130" s="17" t="s">
        <v>143</v>
      </c>
      <c r="E130" s="7" t="s">
        <v>252</v>
      </c>
      <c r="F130" s="7" t="s">
        <v>176</v>
      </c>
      <c r="G130" s="7">
        <f>'5'!H123</f>
        <v>0</v>
      </c>
      <c r="H130" s="7">
        <f>'5'!I123</f>
        <v>1000</v>
      </c>
      <c r="I130" s="7">
        <f>'5'!J123</f>
        <v>1000</v>
      </c>
      <c r="J130" s="10"/>
    </row>
    <row r="131" spans="2:10">
      <c r="B131" s="20" t="s">
        <v>253</v>
      </c>
      <c r="C131" s="17" t="s">
        <v>152</v>
      </c>
      <c r="D131" s="17" t="s">
        <v>143</v>
      </c>
      <c r="E131" s="7" t="s">
        <v>254</v>
      </c>
      <c r="F131" s="7" t="s">
        <v>167</v>
      </c>
      <c r="G131" s="7">
        <f>G132</f>
        <v>600</v>
      </c>
      <c r="H131" s="7">
        <f t="shared" ref="H131:I131" si="54">H132</f>
        <v>600</v>
      </c>
      <c r="I131" s="7">
        <f t="shared" si="54"/>
        <v>600</v>
      </c>
      <c r="J131" s="10"/>
    </row>
    <row r="132" spans="2:10" ht="31.5">
      <c r="B132" s="20" t="s">
        <v>175</v>
      </c>
      <c r="C132" s="17" t="s">
        <v>152</v>
      </c>
      <c r="D132" s="17" t="s">
        <v>143</v>
      </c>
      <c r="E132" s="7" t="s">
        <v>254</v>
      </c>
      <c r="F132" s="7" t="s">
        <v>176</v>
      </c>
      <c r="G132" s="7">
        <f>'5'!H125</f>
        <v>600</v>
      </c>
      <c r="H132" s="7">
        <f>'5'!I125</f>
        <v>600</v>
      </c>
      <c r="I132" s="7">
        <f>'5'!J125</f>
        <v>600</v>
      </c>
      <c r="J132" s="10"/>
    </row>
    <row r="133" spans="2:10">
      <c r="B133" s="20" t="s">
        <v>255</v>
      </c>
      <c r="C133" s="17" t="s">
        <v>152</v>
      </c>
      <c r="D133" s="17" t="s">
        <v>143</v>
      </c>
      <c r="E133" s="7" t="s">
        <v>256</v>
      </c>
      <c r="F133" s="7" t="s">
        <v>167</v>
      </c>
      <c r="G133" s="7">
        <f>G134</f>
        <v>3768</v>
      </c>
      <c r="H133" s="7">
        <f t="shared" ref="H133:I133" si="55">H134</f>
        <v>2268</v>
      </c>
      <c r="I133" s="7">
        <f t="shared" si="55"/>
        <v>2268</v>
      </c>
      <c r="J133" s="10"/>
    </row>
    <row r="134" spans="2:10" ht="31.5">
      <c r="B134" s="20" t="s">
        <v>175</v>
      </c>
      <c r="C134" s="17" t="s">
        <v>152</v>
      </c>
      <c r="D134" s="17" t="s">
        <v>143</v>
      </c>
      <c r="E134" s="7" t="s">
        <v>256</v>
      </c>
      <c r="F134" s="7" t="s">
        <v>176</v>
      </c>
      <c r="G134" s="7">
        <f>'5'!H127</f>
        <v>3768</v>
      </c>
      <c r="H134" s="7">
        <f>'5'!I127</f>
        <v>2268</v>
      </c>
      <c r="I134" s="7">
        <f>'5'!J127</f>
        <v>2268</v>
      </c>
      <c r="J134" s="10"/>
    </row>
    <row r="135" spans="2:10">
      <c r="B135" s="51" t="s">
        <v>130</v>
      </c>
      <c r="C135" s="17" t="s">
        <v>152</v>
      </c>
      <c r="D135" s="17" t="s">
        <v>154</v>
      </c>
      <c r="E135" s="7" t="s">
        <v>168</v>
      </c>
      <c r="F135" s="7" t="s">
        <v>167</v>
      </c>
      <c r="G135" s="15">
        <f>SUM(G136,G158)</f>
        <v>114263.6</v>
      </c>
      <c r="H135" s="15">
        <f t="shared" ref="H135:I135" si="56">SUM(H136,H158)</f>
        <v>2580</v>
      </c>
      <c r="I135" s="15">
        <f t="shared" si="56"/>
        <v>3080</v>
      </c>
      <c r="J135" s="10"/>
    </row>
    <row r="136" spans="2:10" ht="94.5">
      <c r="B136" s="21" t="s">
        <v>424</v>
      </c>
      <c r="C136" s="17" t="s">
        <v>152</v>
      </c>
      <c r="D136" s="17" t="s">
        <v>154</v>
      </c>
      <c r="E136" s="7" t="s">
        <v>349</v>
      </c>
      <c r="F136" s="7" t="s">
        <v>167</v>
      </c>
      <c r="G136" s="7">
        <f>SUM(G137,G149)</f>
        <v>109423.1</v>
      </c>
      <c r="H136" s="7">
        <f t="shared" ref="H136:I136" si="57">SUM(H137,H149)</f>
        <v>630</v>
      </c>
      <c r="I136" s="7">
        <f t="shared" si="57"/>
        <v>630</v>
      </c>
      <c r="J136" s="10"/>
    </row>
    <row r="137" spans="2:10" ht="47.25">
      <c r="B137" s="20" t="s">
        <v>257</v>
      </c>
      <c r="C137" s="17" t="s">
        <v>152</v>
      </c>
      <c r="D137" s="17" t="s">
        <v>154</v>
      </c>
      <c r="E137" s="7" t="s">
        <v>350</v>
      </c>
      <c r="F137" s="7" t="s">
        <v>167</v>
      </c>
      <c r="G137" s="7">
        <f>SUM(G138,G143,G146)</f>
        <v>81241.3</v>
      </c>
      <c r="H137" s="7">
        <f t="shared" ref="H137:I137" si="58">SUM(H138,H143,H146)</f>
        <v>430</v>
      </c>
      <c r="I137" s="7">
        <f t="shared" si="58"/>
        <v>430</v>
      </c>
      <c r="J137" s="10"/>
    </row>
    <row r="138" spans="2:10" ht="47.25" hidden="1">
      <c r="B138" s="20" t="s">
        <v>258</v>
      </c>
      <c r="C138" s="17" t="s">
        <v>152</v>
      </c>
      <c r="D138" s="17" t="s">
        <v>154</v>
      </c>
      <c r="E138" s="7" t="s">
        <v>259</v>
      </c>
      <c r="F138" s="7" t="s">
        <v>167</v>
      </c>
      <c r="G138" s="7">
        <f>SUM(G139,G141,)</f>
        <v>0</v>
      </c>
      <c r="H138" s="7"/>
      <c r="I138" s="7">
        <f>SUM(I139,I141,)</f>
        <v>0</v>
      </c>
      <c r="J138" s="10"/>
    </row>
    <row r="139" spans="2:10" ht="31.5" hidden="1">
      <c r="B139" s="20" t="s">
        <v>260</v>
      </c>
      <c r="C139" s="17" t="s">
        <v>152</v>
      </c>
      <c r="D139" s="17" t="s">
        <v>154</v>
      </c>
      <c r="E139" s="7" t="s">
        <v>261</v>
      </c>
      <c r="F139" s="7" t="s">
        <v>167</v>
      </c>
      <c r="G139" s="7">
        <f>G140</f>
        <v>0</v>
      </c>
      <c r="H139" s="7"/>
      <c r="I139" s="7">
        <f>I140</f>
        <v>0</v>
      </c>
      <c r="J139" s="10"/>
    </row>
    <row r="140" spans="2:10" hidden="1">
      <c r="B140" s="20" t="s">
        <v>262</v>
      </c>
      <c r="C140" s="17" t="s">
        <v>152</v>
      </c>
      <c r="D140" s="17" t="s">
        <v>154</v>
      </c>
      <c r="E140" s="7" t="s">
        <v>261</v>
      </c>
      <c r="F140" s="7" t="s">
        <v>263</v>
      </c>
      <c r="G140" s="7">
        <f>'5'!H133</f>
        <v>0</v>
      </c>
      <c r="H140" s="7"/>
      <c r="I140" s="7">
        <f>'5'!J133</f>
        <v>0</v>
      </c>
      <c r="J140" s="10"/>
    </row>
    <row r="141" spans="2:10" ht="31.5" hidden="1">
      <c r="B141" s="20" t="s">
        <v>264</v>
      </c>
      <c r="C141" s="17" t="s">
        <v>152</v>
      </c>
      <c r="D141" s="17" t="s">
        <v>154</v>
      </c>
      <c r="E141" s="7" t="s">
        <v>265</v>
      </c>
      <c r="F141" s="7" t="s">
        <v>167</v>
      </c>
      <c r="G141" s="7">
        <f>G142</f>
        <v>0</v>
      </c>
      <c r="H141" s="7"/>
      <c r="I141" s="7">
        <f>I142</f>
        <v>0</v>
      </c>
      <c r="J141" s="10"/>
    </row>
    <row r="142" spans="2:10" hidden="1">
      <c r="B142" s="20" t="s">
        <v>262</v>
      </c>
      <c r="C142" s="17" t="s">
        <v>152</v>
      </c>
      <c r="D142" s="17" t="s">
        <v>154</v>
      </c>
      <c r="E142" s="7" t="s">
        <v>265</v>
      </c>
      <c r="F142" s="7" t="s">
        <v>263</v>
      </c>
      <c r="G142" s="7">
        <f>'5'!H135</f>
        <v>0</v>
      </c>
      <c r="H142" s="7"/>
      <c r="I142" s="7">
        <f>'5'!J135</f>
        <v>0</v>
      </c>
      <c r="J142" s="10"/>
    </row>
    <row r="143" spans="2:10" ht="31.5">
      <c r="B143" s="20" t="s">
        <v>266</v>
      </c>
      <c r="C143" s="17" t="s">
        <v>152</v>
      </c>
      <c r="D143" s="17" t="s">
        <v>154</v>
      </c>
      <c r="E143" s="7" t="s">
        <v>351</v>
      </c>
      <c r="F143" s="7" t="s">
        <v>167</v>
      </c>
      <c r="G143" s="7">
        <f>G144</f>
        <v>2130.5</v>
      </c>
      <c r="H143" s="7">
        <f t="shared" ref="H143:I144" si="59">H144</f>
        <v>430</v>
      </c>
      <c r="I143" s="7">
        <f t="shared" si="59"/>
        <v>430</v>
      </c>
      <c r="J143" s="10"/>
    </row>
    <row r="144" spans="2:10" ht="31.5">
      <c r="B144" s="20" t="s">
        <v>267</v>
      </c>
      <c r="C144" s="17" t="s">
        <v>152</v>
      </c>
      <c r="D144" s="17" t="s">
        <v>154</v>
      </c>
      <c r="E144" s="7" t="s">
        <v>352</v>
      </c>
      <c r="F144" s="7" t="s">
        <v>167</v>
      </c>
      <c r="G144" s="7">
        <f>G145</f>
        <v>2130.5</v>
      </c>
      <c r="H144" s="7">
        <f t="shared" si="59"/>
        <v>430</v>
      </c>
      <c r="I144" s="7">
        <f t="shared" si="59"/>
        <v>430</v>
      </c>
      <c r="J144" s="10"/>
    </row>
    <row r="145" spans="2:10" ht="31.5">
      <c r="B145" s="20" t="s">
        <v>175</v>
      </c>
      <c r="C145" s="17" t="s">
        <v>152</v>
      </c>
      <c r="D145" s="17" t="s">
        <v>154</v>
      </c>
      <c r="E145" s="7" t="s">
        <v>352</v>
      </c>
      <c r="F145" s="7" t="s">
        <v>176</v>
      </c>
      <c r="G145" s="7">
        <f>'5'!H138</f>
        <v>2130.5</v>
      </c>
      <c r="H145" s="7">
        <f>'5'!I138</f>
        <v>430</v>
      </c>
      <c r="I145" s="7">
        <f>'5'!J138</f>
        <v>430</v>
      </c>
      <c r="J145" s="10"/>
    </row>
    <row r="146" spans="2:10" ht="63">
      <c r="B146" s="20" t="s">
        <v>326</v>
      </c>
      <c r="C146" s="17" t="s">
        <v>152</v>
      </c>
      <c r="D146" s="17" t="s">
        <v>154</v>
      </c>
      <c r="E146" s="7" t="s">
        <v>353</v>
      </c>
      <c r="F146" s="7" t="s">
        <v>167</v>
      </c>
      <c r="G146" s="7">
        <f>G147</f>
        <v>79110.8</v>
      </c>
      <c r="H146" s="7">
        <f t="shared" ref="H146:I147" si="60">H147</f>
        <v>0</v>
      </c>
      <c r="I146" s="7">
        <f t="shared" si="60"/>
        <v>0</v>
      </c>
      <c r="J146" s="10"/>
    </row>
    <row r="147" spans="2:10" ht="47.25">
      <c r="B147" s="20" t="s">
        <v>268</v>
      </c>
      <c r="C147" s="17" t="s">
        <v>152</v>
      </c>
      <c r="D147" s="17" t="s">
        <v>154</v>
      </c>
      <c r="E147" s="7" t="s">
        <v>354</v>
      </c>
      <c r="F147" s="7" t="s">
        <v>167</v>
      </c>
      <c r="G147" s="7">
        <f>G148</f>
        <v>79110.8</v>
      </c>
      <c r="H147" s="7">
        <f t="shared" si="60"/>
        <v>0</v>
      </c>
      <c r="I147" s="7">
        <f t="shared" si="60"/>
        <v>0</v>
      </c>
      <c r="J147" s="10"/>
    </row>
    <row r="148" spans="2:10" s="61" customFormat="1">
      <c r="B148" s="34" t="s">
        <v>262</v>
      </c>
      <c r="C148" s="56" t="s">
        <v>152</v>
      </c>
      <c r="D148" s="56" t="s">
        <v>154</v>
      </c>
      <c r="E148" s="57" t="s">
        <v>354</v>
      </c>
      <c r="F148" s="57" t="s">
        <v>263</v>
      </c>
      <c r="G148" s="57">
        <f>'5'!H141</f>
        <v>79110.8</v>
      </c>
      <c r="H148" s="57">
        <f>'5'!I141</f>
        <v>0</v>
      </c>
      <c r="I148" s="57">
        <f>'5'!J141</f>
        <v>0</v>
      </c>
      <c r="J148" s="60"/>
    </row>
    <row r="149" spans="2:10" ht="47.25">
      <c r="B149" s="20" t="s">
        <v>269</v>
      </c>
      <c r="C149" s="17" t="s">
        <v>152</v>
      </c>
      <c r="D149" s="17" t="s">
        <v>154</v>
      </c>
      <c r="E149" s="7" t="s">
        <v>355</v>
      </c>
      <c r="F149" s="7" t="s">
        <v>167</v>
      </c>
      <c r="G149" s="7">
        <f>SUM(G150,G155)</f>
        <v>28181.800000000003</v>
      </c>
      <c r="H149" s="7">
        <f t="shared" ref="H149:I149" si="61">SUM(H150,H155)</f>
        <v>200</v>
      </c>
      <c r="I149" s="7">
        <f t="shared" si="61"/>
        <v>200</v>
      </c>
      <c r="J149" s="10"/>
    </row>
    <row r="150" spans="2:10" ht="31.5">
      <c r="B150" s="34" t="s">
        <v>270</v>
      </c>
      <c r="C150" s="56" t="s">
        <v>152</v>
      </c>
      <c r="D150" s="56" t="s">
        <v>154</v>
      </c>
      <c r="E150" s="57" t="s">
        <v>361</v>
      </c>
      <c r="F150" s="7" t="s">
        <v>167</v>
      </c>
      <c r="G150" s="7">
        <f>SUM(G151,G153)</f>
        <v>28108.100000000002</v>
      </c>
      <c r="H150" s="7">
        <f>SUM(H151,H153)</f>
        <v>0</v>
      </c>
      <c r="I150" s="7">
        <f>SUM(I151,I153)</f>
        <v>0</v>
      </c>
      <c r="J150" s="10"/>
    </row>
    <row r="151" spans="2:10" ht="47.25">
      <c r="B151" s="34" t="s">
        <v>271</v>
      </c>
      <c r="C151" s="56" t="s">
        <v>152</v>
      </c>
      <c r="D151" s="56" t="s">
        <v>154</v>
      </c>
      <c r="E151" s="57" t="s">
        <v>362</v>
      </c>
      <c r="F151" s="7" t="s">
        <v>167</v>
      </c>
      <c r="G151" s="7">
        <f>G152</f>
        <v>27264.9</v>
      </c>
      <c r="H151" s="7">
        <f>H152</f>
        <v>0</v>
      </c>
      <c r="I151" s="7">
        <f>I152</f>
        <v>0</v>
      </c>
      <c r="J151" s="10"/>
    </row>
    <row r="152" spans="2:10">
      <c r="B152" s="34" t="s">
        <v>262</v>
      </c>
      <c r="C152" s="56" t="s">
        <v>152</v>
      </c>
      <c r="D152" s="56" t="s">
        <v>154</v>
      </c>
      <c r="E152" s="57" t="s">
        <v>362</v>
      </c>
      <c r="F152" s="7" t="s">
        <v>263</v>
      </c>
      <c r="G152" s="7">
        <f>'5'!H145</f>
        <v>27264.9</v>
      </c>
      <c r="H152" s="7">
        <f>'5'!I145</f>
        <v>0</v>
      </c>
      <c r="I152" s="7">
        <f>'5'!J145</f>
        <v>0</v>
      </c>
      <c r="J152" s="10"/>
    </row>
    <row r="153" spans="2:10" ht="47.25">
      <c r="B153" s="34" t="s">
        <v>272</v>
      </c>
      <c r="C153" s="56" t="s">
        <v>152</v>
      </c>
      <c r="D153" s="56" t="s">
        <v>154</v>
      </c>
      <c r="E153" s="57" t="s">
        <v>363</v>
      </c>
      <c r="F153" s="7" t="s">
        <v>167</v>
      </c>
      <c r="G153" s="7">
        <f>G154</f>
        <v>843.2</v>
      </c>
      <c r="H153" s="7">
        <f>H154</f>
        <v>0</v>
      </c>
      <c r="I153" s="7">
        <f>I154</f>
        <v>0</v>
      </c>
      <c r="J153" s="10"/>
    </row>
    <row r="154" spans="2:10">
      <c r="B154" s="34" t="s">
        <v>262</v>
      </c>
      <c r="C154" s="56" t="s">
        <v>152</v>
      </c>
      <c r="D154" s="56" t="s">
        <v>154</v>
      </c>
      <c r="E154" s="57" t="s">
        <v>363</v>
      </c>
      <c r="F154" s="7" t="s">
        <v>263</v>
      </c>
      <c r="G154" s="7">
        <f>'5'!H147</f>
        <v>843.2</v>
      </c>
      <c r="H154" s="7">
        <f>'5'!I147</f>
        <v>0</v>
      </c>
      <c r="I154" s="7">
        <f>'5'!J147</f>
        <v>0</v>
      </c>
      <c r="J154" s="10"/>
    </row>
    <row r="155" spans="2:10" ht="31.5">
      <c r="B155" s="20" t="s">
        <v>340</v>
      </c>
      <c r="C155" s="17" t="s">
        <v>152</v>
      </c>
      <c r="D155" s="17" t="s">
        <v>154</v>
      </c>
      <c r="E155" s="7" t="s">
        <v>356</v>
      </c>
      <c r="F155" s="7" t="s">
        <v>167</v>
      </c>
      <c r="G155" s="7">
        <f>SUM(G156)</f>
        <v>73.7</v>
      </c>
      <c r="H155" s="7">
        <f t="shared" ref="H155:I155" si="62">SUM(H156)</f>
        <v>200</v>
      </c>
      <c r="I155" s="7">
        <f t="shared" si="62"/>
        <v>200</v>
      </c>
      <c r="J155" s="10"/>
    </row>
    <row r="156" spans="2:10" ht="31.5">
      <c r="B156" s="20" t="s">
        <v>273</v>
      </c>
      <c r="C156" s="17" t="s">
        <v>152</v>
      </c>
      <c r="D156" s="17" t="s">
        <v>154</v>
      </c>
      <c r="E156" s="7" t="s">
        <v>357</v>
      </c>
      <c r="F156" s="7" t="s">
        <v>167</v>
      </c>
      <c r="G156" s="7">
        <f>G157</f>
        <v>73.7</v>
      </c>
      <c r="H156" s="7">
        <f t="shared" ref="H156:I156" si="63">H157</f>
        <v>200</v>
      </c>
      <c r="I156" s="7">
        <f t="shared" si="63"/>
        <v>200</v>
      </c>
      <c r="J156" s="10"/>
    </row>
    <row r="157" spans="2:10" ht="31.5">
      <c r="B157" s="20" t="s">
        <v>175</v>
      </c>
      <c r="C157" s="17" t="s">
        <v>152</v>
      </c>
      <c r="D157" s="17" t="s">
        <v>154</v>
      </c>
      <c r="E157" s="7" t="s">
        <v>357</v>
      </c>
      <c r="F157" s="7" t="s">
        <v>176</v>
      </c>
      <c r="G157" s="7">
        <f>'5'!H150</f>
        <v>73.7</v>
      </c>
      <c r="H157" s="7">
        <f>'5'!I150</f>
        <v>200</v>
      </c>
      <c r="I157" s="7">
        <f>'5'!J150</f>
        <v>200</v>
      </c>
      <c r="J157" s="10"/>
    </row>
    <row r="158" spans="2:10">
      <c r="B158" s="16" t="s">
        <v>247</v>
      </c>
      <c r="C158" s="17" t="s">
        <v>152</v>
      </c>
      <c r="D158" s="17" t="s">
        <v>154</v>
      </c>
      <c r="E158" s="7" t="s">
        <v>248</v>
      </c>
      <c r="F158" s="7" t="s">
        <v>167</v>
      </c>
      <c r="G158" s="7">
        <f t="shared" ref="G158:I162" si="64">G159</f>
        <v>4840.5</v>
      </c>
      <c r="H158" s="7">
        <f t="shared" si="64"/>
        <v>1950</v>
      </c>
      <c r="I158" s="7">
        <f t="shared" si="64"/>
        <v>2450</v>
      </c>
      <c r="J158" s="10"/>
    </row>
    <row r="159" spans="2:10">
      <c r="B159" s="20" t="s">
        <v>274</v>
      </c>
      <c r="C159" s="17" t="s">
        <v>152</v>
      </c>
      <c r="D159" s="17" t="s">
        <v>154</v>
      </c>
      <c r="E159" s="7" t="s">
        <v>275</v>
      </c>
      <c r="F159" s="7" t="s">
        <v>167</v>
      </c>
      <c r="G159" s="7">
        <f>G162+G160+G164</f>
        <v>4840.5</v>
      </c>
      <c r="H159" s="7">
        <f t="shared" ref="H159:I159" si="65">H162+H160+H164</f>
        <v>1950</v>
      </c>
      <c r="I159" s="7">
        <f t="shared" si="65"/>
        <v>2450</v>
      </c>
      <c r="J159" s="10"/>
    </row>
    <row r="160" spans="2:10" ht="31.5">
      <c r="B160" s="34" t="s">
        <v>377</v>
      </c>
      <c r="C160" s="17" t="s">
        <v>152</v>
      </c>
      <c r="D160" s="17" t="s">
        <v>154</v>
      </c>
      <c r="E160" s="57" t="s">
        <v>436</v>
      </c>
      <c r="F160" s="7"/>
      <c r="G160" s="7">
        <f>G161</f>
        <v>866.8</v>
      </c>
      <c r="H160" s="7">
        <f t="shared" ref="H160:I160" si="66">H161</f>
        <v>0</v>
      </c>
      <c r="I160" s="7">
        <f t="shared" si="66"/>
        <v>0</v>
      </c>
      <c r="J160" s="10"/>
    </row>
    <row r="161" spans="2:10" ht="31.5">
      <c r="B161" s="34" t="s">
        <v>175</v>
      </c>
      <c r="C161" s="17" t="s">
        <v>152</v>
      </c>
      <c r="D161" s="17" t="s">
        <v>154</v>
      </c>
      <c r="E161" s="57" t="s">
        <v>436</v>
      </c>
      <c r="F161" s="17" t="s">
        <v>176</v>
      </c>
      <c r="G161" s="7">
        <f>'5'!H154</f>
        <v>866.8</v>
      </c>
      <c r="H161" s="7">
        <f>'5'!I154</f>
        <v>0</v>
      </c>
      <c r="I161" s="7">
        <f>'5'!J154</f>
        <v>0</v>
      </c>
      <c r="J161" s="10"/>
    </row>
    <row r="162" spans="2:10">
      <c r="B162" s="20" t="s">
        <v>276</v>
      </c>
      <c r="C162" s="17" t="s">
        <v>152</v>
      </c>
      <c r="D162" s="17" t="s">
        <v>154</v>
      </c>
      <c r="E162" s="7" t="s">
        <v>277</v>
      </c>
      <c r="F162" s="7" t="s">
        <v>167</v>
      </c>
      <c r="G162" s="7">
        <f t="shared" si="64"/>
        <v>1951.2</v>
      </c>
      <c r="H162" s="7">
        <f t="shared" si="64"/>
        <v>1950</v>
      </c>
      <c r="I162" s="7">
        <f t="shared" si="64"/>
        <v>2450</v>
      </c>
      <c r="J162" s="10"/>
    </row>
    <row r="163" spans="2:10" ht="31.5">
      <c r="B163" s="20" t="s">
        <v>175</v>
      </c>
      <c r="C163" s="17" t="s">
        <v>152</v>
      </c>
      <c r="D163" s="17" t="s">
        <v>154</v>
      </c>
      <c r="E163" s="7" t="s">
        <v>277</v>
      </c>
      <c r="F163" s="7" t="s">
        <v>176</v>
      </c>
      <c r="G163" s="7">
        <f>'5'!H156</f>
        <v>1951.2</v>
      </c>
      <c r="H163" s="7">
        <f>'5'!I156</f>
        <v>1950</v>
      </c>
      <c r="I163" s="7">
        <f>'5'!J156</f>
        <v>2450</v>
      </c>
      <c r="J163" s="10"/>
    </row>
    <row r="164" spans="2:10">
      <c r="B164" s="69" t="s">
        <v>437</v>
      </c>
      <c r="C164" s="17" t="s">
        <v>152</v>
      </c>
      <c r="D164" s="17" t="s">
        <v>154</v>
      </c>
      <c r="E164" s="57" t="s">
        <v>438</v>
      </c>
      <c r="F164" s="7"/>
      <c r="G164" s="7">
        <f>G165</f>
        <v>2022.5</v>
      </c>
      <c r="H164" s="7">
        <f t="shared" ref="H164:I164" si="67">H165</f>
        <v>0</v>
      </c>
      <c r="I164" s="7">
        <f t="shared" si="67"/>
        <v>0</v>
      </c>
      <c r="J164" s="10"/>
    </row>
    <row r="165" spans="2:10" ht="31.5">
      <c r="B165" s="34" t="s">
        <v>175</v>
      </c>
      <c r="C165" s="17" t="s">
        <v>152</v>
      </c>
      <c r="D165" s="17" t="s">
        <v>154</v>
      </c>
      <c r="E165" s="57" t="s">
        <v>438</v>
      </c>
      <c r="F165" s="17" t="s">
        <v>176</v>
      </c>
      <c r="G165" s="7">
        <f>'5'!H158</f>
        <v>2022.5</v>
      </c>
      <c r="H165" s="7">
        <f>'5'!I158</f>
        <v>0</v>
      </c>
      <c r="I165" s="7">
        <f>'5'!J158</f>
        <v>0</v>
      </c>
      <c r="J165" s="10"/>
    </row>
    <row r="166" spans="2:10">
      <c r="B166" s="51" t="s">
        <v>131</v>
      </c>
      <c r="C166" s="17" t="s">
        <v>152</v>
      </c>
      <c r="D166" s="17" t="s">
        <v>144</v>
      </c>
      <c r="E166" s="7" t="s">
        <v>168</v>
      </c>
      <c r="F166" s="7" t="s">
        <v>167</v>
      </c>
      <c r="G166" s="15">
        <f>SUM(G167,G179)</f>
        <v>62741.600000000006</v>
      </c>
      <c r="H166" s="15">
        <f t="shared" ref="H166:I166" si="68">SUM(H167,H179)</f>
        <v>18037.099999999999</v>
      </c>
      <c r="I166" s="15">
        <f t="shared" si="68"/>
        <v>20199.7</v>
      </c>
      <c r="J166" s="10"/>
    </row>
    <row r="167" spans="2:10">
      <c r="B167" s="20" t="s">
        <v>186</v>
      </c>
      <c r="C167" s="17" t="s">
        <v>152</v>
      </c>
      <c r="D167" s="17" t="s">
        <v>144</v>
      </c>
      <c r="E167" s="7" t="s">
        <v>182</v>
      </c>
      <c r="F167" s="7" t="s">
        <v>167</v>
      </c>
      <c r="G167" s="7">
        <f>G168</f>
        <v>2701.4</v>
      </c>
      <c r="H167" s="7">
        <f t="shared" ref="H167:I167" si="69">H168</f>
        <v>0</v>
      </c>
      <c r="I167" s="7">
        <f t="shared" si="69"/>
        <v>0</v>
      </c>
      <c r="J167" s="10"/>
    </row>
    <row r="168" spans="2:10" ht="47.25">
      <c r="B168" s="20" t="s">
        <v>278</v>
      </c>
      <c r="C168" s="17" t="s">
        <v>152</v>
      </c>
      <c r="D168" s="17" t="s">
        <v>144</v>
      </c>
      <c r="E168" s="7" t="s">
        <v>279</v>
      </c>
      <c r="F168" s="7" t="s">
        <v>167</v>
      </c>
      <c r="G168" s="7">
        <f>G171+G175+G177+G173+G169</f>
        <v>2701.4</v>
      </c>
      <c r="H168" s="7">
        <f t="shared" ref="H168:I168" si="70">H171+H175+H177</f>
        <v>0</v>
      </c>
      <c r="I168" s="7">
        <f t="shared" si="70"/>
        <v>0</v>
      </c>
      <c r="J168" s="10"/>
    </row>
    <row r="169" spans="2:10" ht="47.25" customHeight="1">
      <c r="B169" s="34" t="s">
        <v>442</v>
      </c>
      <c r="C169" s="17" t="s">
        <v>152</v>
      </c>
      <c r="D169" s="17" t="s">
        <v>144</v>
      </c>
      <c r="E169" s="57" t="s">
        <v>441</v>
      </c>
      <c r="F169" s="7"/>
      <c r="G169" s="7">
        <f>G170</f>
        <v>1</v>
      </c>
      <c r="H169" s="7">
        <f t="shared" ref="H169:I169" si="71">H170</f>
        <v>0</v>
      </c>
      <c r="I169" s="7">
        <f t="shared" si="71"/>
        <v>0</v>
      </c>
      <c r="J169" s="10"/>
    </row>
    <row r="170" spans="2:10">
      <c r="B170" s="34" t="s">
        <v>186</v>
      </c>
      <c r="C170" s="17" t="s">
        <v>152</v>
      </c>
      <c r="D170" s="17" t="s">
        <v>144</v>
      </c>
      <c r="E170" s="57" t="s">
        <v>441</v>
      </c>
      <c r="F170" s="17" t="s">
        <v>187</v>
      </c>
      <c r="G170" s="7">
        <f>'5'!H163</f>
        <v>1</v>
      </c>
      <c r="H170" s="7">
        <f>'5'!I163</f>
        <v>0</v>
      </c>
      <c r="I170" s="7">
        <f>'5'!J163</f>
        <v>0</v>
      </c>
      <c r="J170" s="10"/>
    </row>
    <row r="171" spans="2:10" ht="50.25" customHeight="1">
      <c r="B171" s="20" t="s">
        <v>384</v>
      </c>
      <c r="C171" s="17" t="s">
        <v>152</v>
      </c>
      <c r="D171" s="17" t="s">
        <v>144</v>
      </c>
      <c r="E171" s="7" t="s">
        <v>383</v>
      </c>
      <c r="F171" s="7"/>
      <c r="G171" s="7">
        <f>G172</f>
        <v>1255.9000000000001</v>
      </c>
      <c r="H171" s="7">
        <f t="shared" ref="H171:I171" si="72">H172</f>
        <v>0</v>
      </c>
      <c r="I171" s="7">
        <f t="shared" si="72"/>
        <v>0</v>
      </c>
      <c r="J171" s="10"/>
    </row>
    <row r="172" spans="2:10">
      <c r="B172" s="20" t="s">
        <v>186</v>
      </c>
      <c r="C172" s="17" t="s">
        <v>152</v>
      </c>
      <c r="D172" s="17" t="s">
        <v>144</v>
      </c>
      <c r="E172" s="7" t="s">
        <v>383</v>
      </c>
      <c r="F172" s="7" t="s">
        <v>187</v>
      </c>
      <c r="G172" s="7">
        <f>'5'!H165</f>
        <v>1255.9000000000001</v>
      </c>
      <c r="H172" s="7">
        <f>'5'!I165</f>
        <v>0</v>
      </c>
      <c r="I172" s="7">
        <f>'5'!J165</f>
        <v>0</v>
      </c>
      <c r="J172" s="10"/>
    </row>
    <row r="173" spans="2:10" ht="63" customHeight="1">
      <c r="B173" s="20" t="s">
        <v>422</v>
      </c>
      <c r="C173" s="17" t="s">
        <v>152</v>
      </c>
      <c r="D173" s="17" t="s">
        <v>144</v>
      </c>
      <c r="E173" s="7" t="s">
        <v>423</v>
      </c>
      <c r="F173" s="7"/>
      <c r="G173" s="7">
        <f>G174</f>
        <v>875.1</v>
      </c>
      <c r="H173" s="7">
        <f t="shared" ref="H173:I173" si="73">H174</f>
        <v>0</v>
      </c>
      <c r="I173" s="7">
        <f t="shared" si="73"/>
        <v>0</v>
      </c>
      <c r="J173" s="10"/>
    </row>
    <row r="174" spans="2:10">
      <c r="B174" s="20" t="s">
        <v>186</v>
      </c>
      <c r="C174" s="17" t="s">
        <v>152</v>
      </c>
      <c r="D174" s="17" t="s">
        <v>144</v>
      </c>
      <c r="E174" s="7" t="s">
        <v>423</v>
      </c>
      <c r="F174" s="17">
        <v>540</v>
      </c>
      <c r="G174" s="7">
        <f>'5'!H167</f>
        <v>875.1</v>
      </c>
      <c r="H174" s="7">
        <f>'5'!I167</f>
        <v>0</v>
      </c>
      <c r="I174" s="7">
        <f>'5'!J167</f>
        <v>0</v>
      </c>
      <c r="J174" s="10"/>
    </row>
    <row r="175" spans="2:10" ht="47.25">
      <c r="B175" s="20" t="s">
        <v>280</v>
      </c>
      <c r="C175" s="17" t="s">
        <v>152</v>
      </c>
      <c r="D175" s="17" t="s">
        <v>144</v>
      </c>
      <c r="E175" s="7" t="s">
        <v>281</v>
      </c>
      <c r="F175" s="7" t="s">
        <v>167</v>
      </c>
      <c r="G175" s="7">
        <f>G176</f>
        <v>69.900000000000006</v>
      </c>
      <c r="H175" s="7">
        <f t="shared" ref="H175:I175" si="74">H176</f>
        <v>0</v>
      </c>
      <c r="I175" s="7">
        <f t="shared" si="74"/>
        <v>0</v>
      </c>
      <c r="J175" s="10"/>
    </row>
    <row r="176" spans="2:10">
      <c r="B176" s="20" t="s">
        <v>186</v>
      </c>
      <c r="C176" s="17" t="s">
        <v>152</v>
      </c>
      <c r="D176" s="17" t="s">
        <v>144</v>
      </c>
      <c r="E176" s="7" t="s">
        <v>281</v>
      </c>
      <c r="F176" s="7" t="s">
        <v>187</v>
      </c>
      <c r="G176" s="7">
        <f>'5'!H169</f>
        <v>69.900000000000006</v>
      </c>
      <c r="H176" s="7">
        <f>'5'!I169</f>
        <v>0</v>
      </c>
      <c r="I176" s="7">
        <f>'5'!J169</f>
        <v>0</v>
      </c>
      <c r="J176" s="10"/>
    </row>
    <row r="177" spans="2:10" ht="47.25">
      <c r="B177" s="20" t="s">
        <v>282</v>
      </c>
      <c r="C177" s="17" t="s">
        <v>152</v>
      </c>
      <c r="D177" s="17" t="s">
        <v>144</v>
      </c>
      <c r="E177" s="7" t="s">
        <v>283</v>
      </c>
      <c r="F177" s="7" t="s">
        <v>167</v>
      </c>
      <c r="G177" s="7">
        <f>G178</f>
        <v>499.5</v>
      </c>
      <c r="H177" s="7">
        <f t="shared" ref="H177:I177" si="75">H178</f>
        <v>0</v>
      </c>
      <c r="I177" s="7">
        <f t="shared" si="75"/>
        <v>0</v>
      </c>
      <c r="J177" s="10"/>
    </row>
    <row r="178" spans="2:10">
      <c r="B178" s="20" t="s">
        <v>186</v>
      </c>
      <c r="C178" s="17" t="s">
        <v>152</v>
      </c>
      <c r="D178" s="17" t="s">
        <v>144</v>
      </c>
      <c r="E178" s="7" t="s">
        <v>283</v>
      </c>
      <c r="F178" s="7" t="s">
        <v>187</v>
      </c>
      <c r="G178" s="7">
        <f>'5'!H171</f>
        <v>499.5</v>
      </c>
      <c r="H178" s="7">
        <v>0</v>
      </c>
      <c r="I178" s="7">
        <f>'5'!J171</f>
        <v>0</v>
      </c>
      <c r="J178" s="10"/>
    </row>
    <row r="179" spans="2:10">
      <c r="B179" s="16" t="s">
        <v>247</v>
      </c>
      <c r="C179" s="17" t="s">
        <v>152</v>
      </c>
      <c r="D179" s="17" t="s">
        <v>144</v>
      </c>
      <c r="E179" s="7" t="s">
        <v>248</v>
      </c>
      <c r="F179" s="7" t="s">
        <v>167</v>
      </c>
      <c r="G179" s="7">
        <f>G180</f>
        <v>60040.200000000004</v>
      </c>
      <c r="H179" s="7">
        <f t="shared" ref="H179:I179" si="76">H180</f>
        <v>18037.099999999999</v>
      </c>
      <c r="I179" s="7">
        <f t="shared" si="76"/>
        <v>20199.7</v>
      </c>
      <c r="J179" s="10"/>
    </row>
    <row r="180" spans="2:10">
      <c r="B180" s="20" t="s">
        <v>284</v>
      </c>
      <c r="C180" s="17" t="s">
        <v>152</v>
      </c>
      <c r="D180" s="17" t="s">
        <v>144</v>
      </c>
      <c r="E180" s="7" t="s">
        <v>285</v>
      </c>
      <c r="F180" s="7" t="s">
        <v>167</v>
      </c>
      <c r="G180" s="7">
        <f>SUM(G181,G184,G186,G189,G191,G193,G195)</f>
        <v>60040.200000000004</v>
      </c>
      <c r="H180" s="7">
        <f t="shared" ref="H180:I180" si="77">SUM(H181,H184,H186,H189,H191,H193,H195)</f>
        <v>18037.099999999999</v>
      </c>
      <c r="I180" s="7">
        <f t="shared" si="77"/>
        <v>20199.7</v>
      </c>
      <c r="J180" s="10"/>
    </row>
    <row r="181" spans="2:10">
      <c r="B181" s="20" t="s">
        <v>286</v>
      </c>
      <c r="C181" s="17" t="s">
        <v>152</v>
      </c>
      <c r="D181" s="17" t="s">
        <v>144</v>
      </c>
      <c r="E181" s="7" t="s">
        <v>287</v>
      </c>
      <c r="F181" s="7" t="s">
        <v>167</v>
      </c>
      <c r="G181" s="7">
        <f>G182+G183</f>
        <v>6033.5999999999995</v>
      </c>
      <c r="H181" s="7">
        <f t="shared" ref="H181:I181" si="78">H182+H183</f>
        <v>5000</v>
      </c>
      <c r="I181" s="7">
        <f t="shared" si="78"/>
        <v>5000</v>
      </c>
      <c r="J181" s="10"/>
    </row>
    <row r="182" spans="2:10" ht="31.5">
      <c r="B182" s="20" t="s">
        <v>175</v>
      </c>
      <c r="C182" s="17" t="s">
        <v>152</v>
      </c>
      <c r="D182" s="17" t="s">
        <v>144</v>
      </c>
      <c r="E182" s="7" t="s">
        <v>287</v>
      </c>
      <c r="F182" s="7" t="s">
        <v>176</v>
      </c>
      <c r="G182" s="7">
        <f>'5'!H175</f>
        <v>5973.5999999999995</v>
      </c>
      <c r="H182" s="7">
        <f>'5'!I175</f>
        <v>5000</v>
      </c>
      <c r="I182" s="7">
        <f>'5'!J175</f>
        <v>5000</v>
      </c>
      <c r="J182" s="10"/>
    </row>
    <row r="183" spans="2:10">
      <c r="B183" s="34" t="s">
        <v>262</v>
      </c>
      <c r="C183" s="17" t="s">
        <v>152</v>
      </c>
      <c r="D183" s="17" t="s">
        <v>144</v>
      </c>
      <c r="E183" s="7" t="s">
        <v>287</v>
      </c>
      <c r="F183" s="17" t="s">
        <v>263</v>
      </c>
      <c r="G183" s="7">
        <f>'5'!H176</f>
        <v>60</v>
      </c>
      <c r="H183" s="7">
        <v>0</v>
      </c>
      <c r="I183" s="7">
        <v>0</v>
      </c>
      <c r="J183" s="10"/>
    </row>
    <row r="184" spans="2:10">
      <c r="B184" s="20" t="s">
        <v>288</v>
      </c>
      <c r="C184" s="17" t="s">
        <v>152</v>
      </c>
      <c r="D184" s="17" t="s">
        <v>144</v>
      </c>
      <c r="E184" s="7" t="s">
        <v>289</v>
      </c>
      <c r="F184" s="7" t="s">
        <v>167</v>
      </c>
      <c r="G184" s="7">
        <f>G185</f>
        <v>319.39999999999998</v>
      </c>
      <c r="H184" s="7">
        <f t="shared" ref="H184:I184" si="79">H185</f>
        <v>500</v>
      </c>
      <c r="I184" s="7">
        <f t="shared" si="79"/>
        <v>500</v>
      </c>
      <c r="J184" s="10"/>
    </row>
    <row r="185" spans="2:10" ht="31.5">
      <c r="B185" s="20" t="s">
        <v>175</v>
      </c>
      <c r="C185" s="17" t="s">
        <v>152</v>
      </c>
      <c r="D185" s="17" t="s">
        <v>144</v>
      </c>
      <c r="E185" s="7" t="s">
        <v>289</v>
      </c>
      <c r="F185" s="7" t="s">
        <v>176</v>
      </c>
      <c r="G185" s="7">
        <f>'5'!H178</f>
        <v>319.39999999999998</v>
      </c>
      <c r="H185" s="7">
        <f>'5'!I178</f>
        <v>500</v>
      </c>
      <c r="I185" s="7">
        <f>'5'!J178</f>
        <v>500</v>
      </c>
      <c r="J185" s="10"/>
    </row>
    <row r="186" spans="2:10" ht="31.5">
      <c r="B186" s="20" t="s">
        <v>290</v>
      </c>
      <c r="C186" s="17" t="s">
        <v>152</v>
      </c>
      <c r="D186" s="17" t="s">
        <v>144</v>
      </c>
      <c r="E186" s="7" t="s">
        <v>291</v>
      </c>
      <c r="F186" s="7" t="s">
        <v>167</v>
      </c>
      <c r="G186" s="7">
        <f>G187+G188</f>
        <v>13871.300000000001</v>
      </c>
      <c r="H186" s="7">
        <f t="shared" ref="H186:I186" si="80">H187+H188</f>
        <v>10511</v>
      </c>
      <c r="I186" s="7">
        <f t="shared" si="80"/>
        <v>11263.400000000001</v>
      </c>
      <c r="J186" s="10"/>
    </row>
    <row r="187" spans="2:10" s="61" customFormat="1" ht="31.5">
      <c r="B187" s="34" t="s">
        <v>175</v>
      </c>
      <c r="C187" s="56" t="s">
        <v>152</v>
      </c>
      <c r="D187" s="56" t="s">
        <v>144</v>
      </c>
      <c r="E187" s="57" t="s">
        <v>291</v>
      </c>
      <c r="F187" s="57" t="s">
        <v>176</v>
      </c>
      <c r="G187" s="57">
        <f>'5'!H180</f>
        <v>13271.300000000001</v>
      </c>
      <c r="H187" s="57">
        <f>'5'!I180</f>
        <v>10511</v>
      </c>
      <c r="I187" s="57">
        <f>'5'!J180</f>
        <v>11263.400000000001</v>
      </c>
      <c r="J187" s="60"/>
    </row>
    <row r="188" spans="2:10" s="61" customFormat="1">
      <c r="B188" s="34" t="s">
        <v>262</v>
      </c>
      <c r="C188" s="56" t="s">
        <v>152</v>
      </c>
      <c r="D188" s="56" t="s">
        <v>144</v>
      </c>
      <c r="E188" s="57" t="s">
        <v>291</v>
      </c>
      <c r="F188" s="56" t="s">
        <v>263</v>
      </c>
      <c r="G188" s="57">
        <f>'5'!H181</f>
        <v>600</v>
      </c>
      <c r="H188" s="57">
        <f>'5'!I181</f>
        <v>0</v>
      </c>
      <c r="I188" s="57">
        <f>'5'!J181</f>
        <v>0</v>
      </c>
      <c r="J188" s="60"/>
    </row>
    <row r="189" spans="2:10" s="61" customFormat="1" ht="47.25">
      <c r="B189" s="34" t="s">
        <v>426</v>
      </c>
      <c r="C189" s="56" t="s">
        <v>152</v>
      </c>
      <c r="D189" s="56" t="s">
        <v>144</v>
      </c>
      <c r="E189" s="57" t="s">
        <v>427</v>
      </c>
      <c r="F189" s="57"/>
      <c r="G189" s="57">
        <f>G190</f>
        <v>33590.699999999997</v>
      </c>
      <c r="H189" s="57">
        <f t="shared" ref="H189:I189" si="81">H190</f>
        <v>0</v>
      </c>
      <c r="I189" s="57">
        <f t="shared" si="81"/>
        <v>0</v>
      </c>
      <c r="J189" s="60"/>
    </row>
    <row r="190" spans="2:10" s="61" customFormat="1">
      <c r="B190" s="34" t="s">
        <v>262</v>
      </c>
      <c r="C190" s="56" t="s">
        <v>152</v>
      </c>
      <c r="D190" s="56" t="s">
        <v>144</v>
      </c>
      <c r="E190" s="57" t="s">
        <v>427</v>
      </c>
      <c r="F190" s="56">
        <v>240</v>
      </c>
      <c r="G190" s="57">
        <f>'5'!H183</f>
        <v>33590.699999999997</v>
      </c>
      <c r="H190" s="57">
        <f>'5'!I183</f>
        <v>0</v>
      </c>
      <c r="I190" s="57">
        <f>'5'!J183</f>
        <v>0</v>
      </c>
      <c r="J190" s="60"/>
    </row>
    <row r="191" spans="2:10">
      <c r="B191" s="20" t="s">
        <v>292</v>
      </c>
      <c r="C191" s="17" t="s">
        <v>152</v>
      </c>
      <c r="D191" s="17" t="s">
        <v>144</v>
      </c>
      <c r="E191" s="7" t="s">
        <v>293</v>
      </c>
      <c r="F191" s="7" t="s">
        <v>167</v>
      </c>
      <c r="G191" s="7">
        <f>G192</f>
        <v>2149.9</v>
      </c>
      <c r="H191" s="7">
        <f t="shared" ref="H191:I191" si="82">H192</f>
        <v>0</v>
      </c>
      <c r="I191" s="7">
        <f t="shared" si="82"/>
        <v>1410.2</v>
      </c>
      <c r="J191" s="10"/>
    </row>
    <row r="192" spans="2:10" ht="31.5">
      <c r="B192" s="20" t="s">
        <v>175</v>
      </c>
      <c r="C192" s="17" t="s">
        <v>152</v>
      </c>
      <c r="D192" s="17" t="s">
        <v>144</v>
      </c>
      <c r="E192" s="7" t="s">
        <v>293</v>
      </c>
      <c r="F192" s="7" t="s">
        <v>176</v>
      </c>
      <c r="G192" s="7">
        <f>'5'!H185</f>
        <v>2149.9</v>
      </c>
      <c r="H192" s="7">
        <f>'5'!I185</f>
        <v>0</v>
      </c>
      <c r="I192" s="7">
        <f>'5'!J185</f>
        <v>1410.2</v>
      </c>
      <c r="J192" s="10"/>
    </row>
    <row r="193" spans="2:10">
      <c r="B193" s="69" t="s">
        <v>428</v>
      </c>
      <c r="C193" s="17" t="s">
        <v>152</v>
      </c>
      <c r="D193" s="17" t="s">
        <v>144</v>
      </c>
      <c r="E193" s="57" t="s">
        <v>429</v>
      </c>
      <c r="F193" s="7" t="s">
        <v>167</v>
      </c>
      <c r="G193" s="7">
        <f>G194</f>
        <v>4001.8</v>
      </c>
      <c r="H193" s="7">
        <f t="shared" ref="H193:I193" si="83">H194</f>
        <v>1965.3</v>
      </c>
      <c r="I193" s="7">
        <f t="shared" si="83"/>
        <v>1965.3</v>
      </c>
      <c r="J193" s="10"/>
    </row>
    <row r="194" spans="2:10" ht="31.5">
      <c r="B194" s="34" t="s">
        <v>175</v>
      </c>
      <c r="C194" s="17" t="s">
        <v>152</v>
      </c>
      <c r="D194" s="17" t="s">
        <v>144</v>
      </c>
      <c r="E194" s="57" t="s">
        <v>429</v>
      </c>
      <c r="F194" s="17">
        <v>240</v>
      </c>
      <c r="G194" s="7">
        <f>'5'!H190</f>
        <v>4001.8</v>
      </c>
      <c r="H194" s="7">
        <f>'5'!I190</f>
        <v>1965.3</v>
      </c>
      <c r="I194" s="7">
        <f>'5'!J190</f>
        <v>1965.3</v>
      </c>
      <c r="J194" s="10"/>
    </row>
    <row r="195" spans="2:10" ht="31.5">
      <c r="B195" s="34" t="s">
        <v>430</v>
      </c>
      <c r="C195" s="17" t="s">
        <v>152</v>
      </c>
      <c r="D195" s="17" t="s">
        <v>144</v>
      </c>
      <c r="E195" s="57" t="s">
        <v>431</v>
      </c>
      <c r="F195" s="17"/>
      <c r="G195" s="7">
        <f>G196</f>
        <v>73.5</v>
      </c>
      <c r="H195" s="7">
        <f t="shared" ref="H195:I195" si="84">H196</f>
        <v>60.8</v>
      </c>
      <c r="I195" s="7">
        <f t="shared" si="84"/>
        <v>60.8</v>
      </c>
      <c r="J195" s="10"/>
    </row>
    <row r="196" spans="2:10" ht="31.5">
      <c r="B196" s="34" t="s">
        <v>175</v>
      </c>
      <c r="C196" s="17" t="s">
        <v>152</v>
      </c>
      <c r="D196" s="17" t="s">
        <v>144</v>
      </c>
      <c r="E196" s="57" t="s">
        <v>431</v>
      </c>
      <c r="F196" s="17">
        <v>240</v>
      </c>
      <c r="G196" s="7">
        <f>'5'!H192</f>
        <v>73.5</v>
      </c>
      <c r="H196" s="7">
        <f>'5'!I192</f>
        <v>60.8</v>
      </c>
      <c r="I196" s="7">
        <f>'5'!J192</f>
        <v>60.8</v>
      </c>
      <c r="J196" s="10"/>
    </row>
    <row r="197" spans="2:10">
      <c r="B197" s="21" t="s">
        <v>132</v>
      </c>
      <c r="C197" s="17" t="s">
        <v>155</v>
      </c>
      <c r="D197" s="17" t="s">
        <v>167</v>
      </c>
      <c r="E197" s="7" t="s">
        <v>168</v>
      </c>
      <c r="F197" s="7" t="s">
        <v>167</v>
      </c>
      <c r="G197" s="15">
        <f t="shared" ref="G197:I200" si="85">G198</f>
        <v>163.80000000000001</v>
      </c>
      <c r="H197" s="15">
        <f t="shared" si="85"/>
        <v>163.80000000000001</v>
      </c>
      <c r="I197" s="15">
        <f t="shared" si="85"/>
        <v>163.80000000000001</v>
      </c>
      <c r="J197" s="10"/>
    </row>
    <row r="198" spans="2:10">
      <c r="B198" s="51" t="s">
        <v>133</v>
      </c>
      <c r="C198" s="17" t="s">
        <v>155</v>
      </c>
      <c r="D198" s="17" t="s">
        <v>155</v>
      </c>
      <c r="E198" s="7" t="s">
        <v>168</v>
      </c>
      <c r="F198" s="7" t="s">
        <v>167</v>
      </c>
      <c r="G198" s="7">
        <f t="shared" si="85"/>
        <v>163.80000000000001</v>
      </c>
      <c r="H198" s="7">
        <f t="shared" si="85"/>
        <v>163.80000000000001</v>
      </c>
      <c r="I198" s="7">
        <f t="shared" si="85"/>
        <v>163.80000000000001</v>
      </c>
      <c r="J198" s="10"/>
    </row>
    <row r="199" spans="2:10">
      <c r="B199" s="20" t="s">
        <v>298</v>
      </c>
      <c r="C199" s="17" t="s">
        <v>155</v>
      </c>
      <c r="D199" s="17" t="s">
        <v>155</v>
      </c>
      <c r="E199" s="7" t="s">
        <v>299</v>
      </c>
      <c r="F199" s="7" t="s">
        <v>167</v>
      </c>
      <c r="G199" s="7">
        <f t="shared" si="85"/>
        <v>163.80000000000001</v>
      </c>
      <c r="H199" s="7">
        <f t="shared" si="85"/>
        <v>163.80000000000001</v>
      </c>
      <c r="I199" s="7">
        <f t="shared" si="85"/>
        <v>163.80000000000001</v>
      </c>
      <c r="J199" s="10"/>
    </row>
    <row r="200" spans="2:10">
      <c r="B200" s="20" t="s">
        <v>300</v>
      </c>
      <c r="C200" s="17" t="s">
        <v>155</v>
      </c>
      <c r="D200" s="17" t="s">
        <v>155</v>
      </c>
      <c r="E200" s="7" t="s">
        <v>301</v>
      </c>
      <c r="F200" s="7" t="s">
        <v>167</v>
      </c>
      <c r="G200" s="7">
        <f t="shared" si="85"/>
        <v>163.80000000000001</v>
      </c>
      <c r="H200" s="7">
        <f t="shared" si="85"/>
        <v>163.80000000000001</v>
      </c>
      <c r="I200" s="7">
        <f t="shared" si="85"/>
        <v>163.80000000000001</v>
      </c>
      <c r="J200" s="10"/>
    </row>
    <row r="201" spans="2:10">
      <c r="B201" s="20" t="s">
        <v>329</v>
      </c>
      <c r="C201" s="17" t="s">
        <v>155</v>
      </c>
      <c r="D201" s="17" t="s">
        <v>155</v>
      </c>
      <c r="E201" s="7" t="s">
        <v>301</v>
      </c>
      <c r="F201" s="7" t="s">
        <v>303</v>
      </c>
      <c r="G201" s="7">
        <f>'5'!H197</f>
        <v>163.80000000000001</v>
      </c>
      <c r="H201" s="7">
        <f>'5'!I197</f>
        <v>163.80000000000001</v>
      </c>
      <c r="I201" s="7">
        <f>'5'!J197</f>
        <v>163.80000000000001</v>
      </c>
      <c r="J201" s="10"/>
    </row>
    <row r="202" spans="2:10">
      <c r="B202" s="21" t="s">
        <v>134</v>
      </c>
      <c r="C202" s="17" t="s">
        <v>150</v>
      </c>
      <c r="D202" s="17" t="s">
        <v>167</v>
      </c>
      <c r="E202" s="7" t="s">
        <v>168</v>
      </c>
      <c r="F202" s="7" t="s">
        <v>167</v>
      </c>
      <c r="G202" s="15">
        <f>G203+G217</f>
        <v>9787.6999999999989</v>
      </c>
      <c r="H202" s="15">
        <f t="shared" ref="H202:I202" si="86">H203+H217</f>
        <v>9379.7999999999993</v>
      </c>
      <c r="I202" s="15">
        <f t="shared" si="86"/>
        <v>9379.7999999999993</v>
      </c>
      <c r="J202" s="10"/>
    </row>
    <row r="203" spans="2:10">
      <c r="B203" s="51" t="s">
        <v>135</v>
      </c>
      <c r="C203" s="17" t="s">
        <v>150</v>
      </c>
      <c r="D203" s="17" t="s">
        <v>143</v>
      </c>
      <c r="E203" s="7" t="s">
        <v>168</v>
      </c>
      <c r="F203" s="7" t="s">
        <v>167</v>
      </c>
      <c r="G203" s="7">
        <f>SUM(G204,G208)</f>
        <v>9542.4</v>
      </c>
      <c r="H203" s="7">
        <f t="shared" ref="H203:I203" si="87">SUM(H204,H208,H213)</f>
        <v>9379.7999999999993</v>
      </c>
      <c r="I203" s="7">
        <f t="shared" si="87"/>
        <v>9379.7999999999993</v>
      </c>
      <c r="J203" s="10"/>
    </row>
    <row r="204" spans="2:10">
      <c r="B204" s="20" t="s">
        <v>96</v>
      </c>
      <c r="C204" s="17" t="s">
        <v>150</v>
      </c>
      <c r="D204" s="17" t="s">
        <v>143</v>
      </c>
      <c r="E204" s="7" t="s">
        <v>182</v>
      </c>
      <c r="F204" s="7" t="s">
        <v>167</v>
      </c>
      <c r="G204" s="7">
        <f t="shared" ref="G204:I206" si="88">G205</f>
        <v>1800</v>
      </c>
      <c r="H204" s="7">
        <f t="shared" si="88"/>
        <v>1800</v>
      </c>
      <c r="I204" s="7">
        <f t="shared" si="88"/>
        <v>1800</v>
      </c>
      <c r="J204" s="10"/>
    </row>
    <row r="205" spans="2:10" ht="31.5">
      <c r="B205" s="20" t="s">
        <v>158</v>
      </c>
      <c r="C205" s="17" t="s">
        <v>150</v>
      </c>
      <c r="D205" s="17" t="s">
        <v>143</v>
      </c>
      <c r="E205" s="7" t="s">
        <v>304</v>
      </c>
      <c r="F205" s="7" t="s">
        <v>167</v>
      </c>
      <c r="G205" s="7">
        <f t="shared" si="88"/>
        <v>1800</v>
      </c>
      <c r="H205" s="7">
        <f t="shared" si="88"/>
        <v>1800</v>
      </c>
      <c r="I205" s="7">
        <f t="shared" si="88"/>
        <v>1800</v>
      </c>
      <c r="J205" s="10"/>
    </row>
    <row r="206" spans="2:10" ht="47.25">
      <c r="B206" s="20" t="s">
        <v>305</v>
      </c>
      <c r="C206" s="17" t="s">
        <v>150</v>
      </c>
      <c r="D206" s="17" t="s">
        <v>143</v>
      </c>
      <c r="E206" s="7" t="s">
        <v>306</v>
      </c>
      <c r="F206" s="7" t="s">
        <v>167</v>
      </c>
      <c r="G206" s="7">
        <f t="shared" si="88"/>
        <v>1800</v>
      </c>
      <c r="H206" s="7">
        <f t="shared" si="88"/>
        <v>1800</v>
      </c>
      <c r="I206" s="7">
        <f t="shared" si="88"/>
        <v>1800</v>
      </c>
      <c r="J206" s="10"/>
    </row>
    <row r="207" spans="2:10">
      <c r="B207" s="20" t="s">
        <v>186</v>
      </c>
      <c r="C207" s="17" t="s">
        <v>150</v>
      </c>
      <c r="D207" s="17" t="s">
        <v>143</v>
      </c>
      <c r="E207" s="7" t="s">
        <v>306</v>
      </c>
      <c r="F207" s="7" t="s">
        <v>187</v>
      </c>
      <c r="G207" s="7">
        <f>'5'!H203</f>
        <v>1800</v>
      </c>
      <c r="H207" s="7">
        <f>'5'!I203</f>
        <v>1800</v>
      </c>
      <c r="I207" s="7">
        <f>'5'!J203</f>
        <v>1800</v>
      </c>
      <c r="J207" s="10"/>
    </row>
    <row r="208" spans="2:10">
      <c r="B208" s="20" t="s">
        <v>307</v>
      </c>
      <c r="C208" s="17" t="s">
        <v>150</v>
      </c>
      <c r="D208" s="17" t="s">
        <v>143</v>
      </c>
      <c r="E208" s="7" t="s">
        <v>308</v>
      </c>
      <c r="F208" s="7" t="s">
        <v>167</v>
      </c>
      <c r="G208" s="7">
        <f>SUM(G209,G211,G213,G215)</f>
        <v>7742.4</v>
      </c>
      <c r="H208" s="7">
        <f t="shared" ref="H208:I208" si="89">SUM(H209,H211)</f>
        <v>7579.7999999999993</v>
      </c>
      <c r="I208" s="7">
        <f t="shared" si="89"/>
        <v>7579.8</v>
      </c>
      <c r="J208" s="10"/>
    </row>
    <row r="209" spans="2:10">
      <c r="B209" s="20" t="s">
        <v>309</v>
      </c>
      <c r="C209" s="17" t="s">
        <v>150</v>
      </c>
      <c r="D209" s="17" t="s">
        <v>143</v>
      </c>
      <c r="E209" s="7" t="s">
        <v>310</v>
      </c>
      <c r="F209" s="7" t="s">
        <v>167</v>
      </c>
      <c r="G209" s="7">
        <f>G210</f>
        <v>4500.5</v>
      </c>
      <c r="H209" s="7">
        <f t="shared" ref="H209:I209" si="90">H210</f>
        <v>4173.3999999999996</v>
      </c>
      <c r="I209" s="7">
        <f t="shared" si="90"/>
        <v>3801.5</v>
      </c>
      <c r="J209" s="10"/>
    </row>
    <row r="210" spans="2:10">
      <c r="B210" s="20" t="s">
        <v>329</v>
      </c>
      <c r="C210" s="17" t="s">
        <v>150</v>
      </c>
      <c r="D210" s="17" t="s">
        <v>143</v>
      </c>
      <c r="E210" s="7" t="s">
        <v>310</v>
      </c>
      <c r="F210" s="7" t="s">
        <v>303</v>
      </c>
      <c r="G210" s="7">
        <f>'5'!H206</f>
        <v>4500.5</v>
      </c>
      <c r="H210" s="7">
        <f>'5'!I206</f>
        <v>4173.3999999999996</v>
      </c>
      <c r="I210" s="7">
        <f>'5'!J206</f>
        <v>3801.5</v>
      </c>
      <c r="J210" s="10"/>
    </row>
    <row r="211" spans="2:10" ht="47.25">
      <c r="B211" s="20" t="s">
        <v>311</v>
      </c>
      <c r="C211" s="17" t="s">
        <v>150</v>
      </c>
      <c r="D211" s="17" t="s">
        <v>143</v>
      </c>
      <c r="E211" s="7" t="s">
        <v>312</v>
      </c>
      <c r="F211" s="7" t="s">
        <v>167</v>
      </c>
      <c r="G211" s="7">
        <f>G212</f>
        <v>3027.9</v>
      </c>
      <c r="H211" s="7">
        <f t="shared" ref="H211:I211" si="91">H212</f>
        <v>3406.4</v>
      </c>
      <c r="I211" s="7">
        <f t="shared" si="91"/>
        <v>3778.3</v>
      </c>
      <c r="J211" s="10"/>
    </row>
    <row r="212" spans="2:10">
      <c r="B212" s="20" t="s">
        <v>329</v>
      </c>
      <c r="C212" s="17" t="s">
        <v>150</v>
      </c>
      <c r="D212" s="17" t="s">
        <v>143</v>
      </c>
      <c r="E212" s="7" t="s">
        <v>312</v>
      </c>
      <c r="F212" s="7" t="s">
        <v>303</v>
      </c>
      <c r="G212" s="7">
        <f>'5'!H208</f>
        <v>3027.9</v>
      </c>
      <c r="H212" s="7">
        <f>'5'!I208</f>
        <v>3406.4</v>
      </c>
      <c r="I212" s="7">
        <f>'5'!J208</f>
        <v>3778.3</v>
      </c>
      <c r="J212" s="10"/>
    </row>
    <row r="213" spans="2:10" ht="31.5">
      <c r="B213" s="20" t="s">
        <v>377</v>
      </c>
      <c r="C213" s="17" t="s">
        <v>150</v>
      </c>
      <c r="D213" s="17" t="s">
        <v>143</v>
      </c>
      <c r="E213" s="7" t="s">
        <v>392</v>
      </c>
      <c r="F213" s="7"/>
      <c r="G213" s="7">
        <f>G214</f>
        <v>64.200000000000045</v>
      </c>
      <c r="H213" s="7">
        <f t="shared" ref="H213:I213" si="92">H214</f>
        <v>0</v>
      </c>
      <c r="I213" s="7">
        <f t="shared" si="92"/>
        <v>0</v>
      </c>
      <c r="J213" s="10"/>
    </row>
    <row r="214" spans="2:10" ht="31.5">
      <c r="B214" s="20" t="s">
        <v>175</v>
      </c>
      <c r="C214" s="17" t="s">
        <v>150</v>
      </c>
      <c r="D214" s="17" t="s">
        <v>143</v>
      </c>
      <c r="E214" s="7" t="s">
        <v>392</v>
      </c>
      <c r="F214" s="17">
        <v>610</v>
      </c>
      <c r="G214" s="7">
        <f>'5'!H210</f>
        <v>64.200000000000045</v>
      </c>
      <c r="H214" s="7">
        <f>'5'!I210</f>
        <v>0</v>
      </c>
      <c r="I214" s="7">
        <f>'5'!J210</f>
        <v>0</v>
      </c>
      <c r="J214" s="10"/>
    </row>
    <row r="215" spans="2:10" ht="31.5">
      <c r="B215" s="34" t="s">
        <v>437</v>
      </c>
      <c r="C215" s="17" t="s">
        <v>150</v>
      </c>
      <c r="D215" s="17" t="s">
        <v>143</v>
      </c>
      <c r="E215" s="7" t="s">
        <v>445</v>
      </c>
      <c r="F215" s="17"/>
      <c r="G215" s="7">
        <f>G216</f>
        <v>149.80000000000001</v>
      </c>
      <c r="H215" s="7">
        <f t="shared" ref="H215:I215" si="93">H216</f>
        <v>0</v>
      </c>
      <c r="I215" s="7">
        <f t="shared" si="93"/>
        <v>0</v>
      </c>
      <c r="J215" s="10"/>
    </row>
    <row r="216" spans="2:10" ht="31.5">
      <c r="B216" s="34" t="s">
        <v>175</v>
      </c>
      <c r="C216" s="17" t="s">
        <v>150</v>
      </c>
      <c r="D216" s="17" t="s">
        <v>143</v>
      </c>
      <c r="E216" s="7" t="s">
        <v>445</v>
      </c>
      <c r="F216" s="17" t="s">
        <v>303</v>
      </c>
      <c r="G216" s="7">
        <f>'5'!H212</f>
        <v>149.80000000000001</v>
      </c>
      <c r="H216" s="7">
        <f>'5'!I212</f>
        <v>0</v>
      </c>
      <c r="I216" s="7">
        <f>'5'!J212</f>
        <v>0</v>
      </c>
      <c r="J216" s="10"/>
    </row>
    <row r="217" spans="2:10" ht="22.5" customHeight="1">
      <c r="B217" s="51" t="s">
        <v>378</v>
      </c>
      <c r="C217" s="17" t="s">
        <v>150</v>
      </c>
      <c r="D217" s="17" t="s">
        <v>145</v>
      </c>
      <c r="E217" s="7"/>
      <c r="F217" s="7"/>
      <c r="G217" s="7">
        <f>G218</f>
        <v>245.29999999999998</v>
      </c>
      <c r="H217" s="7">
        <f t="shared" ref="H217:I219" si="94">H218</f>
        <v>0</v>
      </c>
      <c r="I217" s="7">
        <f t="shared" si="94"/>
        <v>0</v>
      </c>
      <c r="J217" s="10"/>
    </row>
    <row r="218" spans="2:10">
      <c r="B218" s="20" t="s">
        <v>379</v>
      </c>
      <c r="C218" s="17" t="s">
        <v>150</v>
      </c>
      <c r="D218" s="17" t="s">
        <v>145</v>
      </c>
      <c r="E218" s="7" t="s">
        <v>380</v>
      </c>
      <c r="F218" s="7"/>
      <c r="G218" s="7">
        <f>G219+G221</f>
        <v>245.29999999999998</v>
      </c>
      <c r="H218" s="7">
        <f t="shared" ref="H218:I218" si="95">H219+H221</f>
        <v>0</v>
      </c>
      <c r="I218" s="7">
        <f t="shared" si="95"/>
        <v>0</v>
      </c>
      <c r="J218" s="10"/>
    </row>
    <row r="219" spans="2:10" ht="31.5">
      <c r="B219" s="20" t="s">
        <v>377</v>
      </c>
      <c r="C219" s="17" t="s">
        <v>150</v>
      </c>
      <c r="D219" s="17" t="s">
        <v>145</v>
      </c>
      <c r="E219" s="7" t="s">
        <v>381</v>
      </c>
      <c r="F219" s="7"/>
      <c r="G219" s="7">
        <f>G220</f>
        <v>73.599999999999994</v>
      </c>
      <c r="H219" s="7">
        <f t="shared" si="94"/>
        <v>0</v>
      </c>
      <c r="I219" s="7">
        <f t="shared" si="94"/>
        <v>0</v>
      </c>
      <c r="J219" s="10"/>
    </row>
    <row r="220" spans="2:10" ht="31.5">
      <c r="B220" s="20" t="s">
        <v>175</v>
      </c>
      <c r="C220" s="17" t="s">
        <v>150</v>
      </c>
      <c r="D220" s="17" t="s">
        <v>145</v>
      </c>
      <c r="E220" s="7" t="s">
        <v>381</v>
      </c>
      <c r="F220" s="7" t="s">
        <v>176</v>
      </c>
      <c r="G220" s="7">
        <f>'5'!H216</f>
        <v>73.599999999999994</v>
      </c>
      <c r="H220" s="7">
        <f>'5'!I216</f>
        <v>0</v>
      </c>
      <c r="I220" s="7">
        <f>'5'!J216</f>
        <v>0</v>
      </c>
      <c r="J220" s="10"/>
    </row>
    <row r="221" spans="2:10" ht="31.5">
      <c r="B221" s="34" t="s">
        <v>437</v>
      </c>
      <c r="C221" s="17" t="s">
        <v>150</v>
      </c>
      <c r="D221" s="17" t="s">
        <v>145</v>
      </c>
      <c r="E221" s="7" t="s">
        <v>446</v>
      </c>
      <c r="F221" s="7"/>
      <c r="G221" s="7">
        <f>G222</f>
        <v>171.7</v>
      </c>
      <c r="H221" s="7">
        <f t="shared" ref="H221:I221" si="96">H222</f>
        <v>0</v>
      </c>
      <c r="I221" s="7">
        <f t="shared" si="96"/>
        <v>0</v>
      </c>
      <c r="J221" s="10"/>
    </row>
    <row r="222" spans="2:10" ht="31.5">
      <c r="B222" s="34" t="s">
        <v>175</v>
      </c>
      <c r="C222" s="17" t="s">
        <v>150</v>
      </c>
      <c r="D222" s="17" t="s">
        <v>145</v>
      </c>
      <c r="E222" s="7" t="s">
        <v>446</v>
      </c>
      <c r="F222" s="17">
        <v>240</v>
      </c>
      <c r="G222" s="7">
        <f>'5'!H218</f>
        <v>171.7</v>
      </c>
      <c r="H222" s="7">
        <f>'5'!I218</f>
        <v>0</v>
      </c>
      <c r="I222" s="7">
        <f>'5'!J218</f>
        <v>0</v>
      </c>
      <c r="J222" s="10"/>
    </row>
    <row r="223" spans="2:10">
      <c r="B223" s="21" t="s">
        <v>136</v>
      </c>
      <c r="C223" s="17" t="s">
        <v>149</v>
      </c>
      <c r="D223" s="17" t="s">
        <v>167</v>
      </c>
      <c r="E223" s="7" t="s">
        <v>168</v>
      </c>
      <c r="F223" s="7" t="s">
        <v>167</v>
      </c>
      <c r="G223" s="15">
        <f t="shared" ref="G223:I226" si="97">G224</f>
        <v>267.7</v>
      </c>
      <c r="H223" s="15">
        <f t="shared" si="97"/>
        <v>267.7</v>
      </c>
      <c r="I223" s="15">
        <f t="shared" si="97"/>
        <v>267.7</v>
      </c>
      <c r="J223" s="10"/>
    </row>
    <row r="224" spans="2:10">
      <c r="B224" s="51" t="s">
        <v>137</v>
      </c>
      <c r="C224" s="17" t="s">
        <v>149</v>
      </c>
      <c r="D224" s="17" t="s">
        <v>143</v>
      </c>
      <c r="E224" s="7" t="s">
        <v>168</v>
      </c>
      <c r="F224" s="7" t="s">
        <v>167</v>
      </c>
      <c r="G224" s="7">
        <f t="shared" si="97"/>
        <v>267.7</v>
      </c>
      <c r="H224" s="7">
        <f t="shared" si="97"/>
        <v>267.7</v>
      </c>
      <c r="I224" s="7">
        <f t="shared" si="97"/>
        <v>267.7</v>
      </c>
      <c r="J224" s="10"/>
    </row>
    <row r="225" spans="2:10">
      <c r="B225" s="20" t="s">
        <v>313</v>
      </c>
      <c r="C225" s="17" t="s">
        <v>149</v>
      </c>
      <c r="D225" s="17" t="s">
        <v>143</v>
      </c>
      <c r="E225" s="7" t="s">
        <v>314</v>
      </c>
      <c r="F225" s="7" t="s">
        <v>167</v>
      </c>
      <c r="G225" s="7">
        <f t="shared" si="97"/>
        <v>267.7</v>
      </c>
      <c r="H225" s="7">
        <f t="shared" si="97"/>
        <v>267.7</v>
      </c>
      <c r="I225" s="7">
        <f t="shared" si="97"/>
        <v>267.7</v>
      </c>
      <c r="J225" s="10"/>
    </row>
    <row r="226" spans="2:10">
      <c r="B226" s="20" t="s">
        <v>315</v>
      </c>
      <c r="C226" s="17" t="s">
        <v>149</v>
      </c>
      <c r="D226" s="17" t="s">
        <v>143</v>
      </c>
      <c r="E226" s="7" t="s">
        <v>316</v>
      </c>
      <c r="F226" s="7" t="s">
        <v>167</v>
      </c>
      <c r="G226" s="7">
        <f t="shared" si="97"/>
        <v>267.7</v>
      </c>
      <c r="H226" s="7">
        <f t="shared" si="97"/>
        <v>267.7</v>
      </c>
      <c r="I226" s="7">
        <f t="shared" si="97"/>
        <v>267.7</v>
      </c>
      <c r="J226" s="10"/>
    </row>
    <row r="227" spans="2:10">
      <c r="B227" s="20" t="s">
        <v>317</v>
      </c>
      <c r="C227" s="17" t="s">
        <v>149</v>
      </c>
      <c r="D227" s="17" t="s">
        <v>143</v>
      </c>
      <c r="E227" s="7" t="s">
        <v>316</v>
      </c>
      <c r="F227" s="7" t="s">
        <v>318</v>
      </c>
      <c r="G227" s="7">
        <f>'5'!H223</f>
        <v>267.7</v>
      </c>
      <c r="H227" s="7">
        <f>'5'!I223</f>
        <v>267.7</v>
      </c>
      <c r="I227" s="7">
        <f>'5'!J223</f>
        <v>267.7</v>
      </c>
      <c r="J227" s="10"/>
    </row>
    <row r="228" spans="2:10">
      <c r="B228" s="21" t="s">
        <v>138</v>
      </c>
      <c r="C228" s="17" t="s">
        <v>147</v>
      </c>
      <c r="D228" s="17" t="s">
        <v>167</v>
      </c>
      <c r="E228" s="7" t="s">
        <v>168</v>
      </c>
      <c r="F228" s="7" t="s">
        <v>167</v>
      </c>
      <c r="G228" s="15">
        <f t="shared" ref="G228:I232" si="98">G229</f>
        <v>1816.3</v>
      </c>
      <c r="H228" s="15">
        <f t="shared" si="98"/>
        <v>1816.3</v>
      </c>
      <c r="I228" s="15">
        <f t="shared" si="98"/>
        <v>1816.3</v>
      </c>
      <c r="J228" s="10"/>
    </row>
    <row r="229" spans="2:10">
      <c r="B229" s="51" t="s">
        <v>139</v>
      </c>
      <c r="C229" s="17" t="s">
        <v>147</v>
      </c>
      <c r="D229" s="17" t="s">
        <v>143</v>
      </c>
      <c r="E229" s="7" t="s">
        <v>168</v>
      </c>
      <c r="F229" s="7" t="s">
        <v>167</v>
      </c>
      <c r="G229" s="7">
        <f t="shared" si="98"/>
        <v>1816.3</v>
      </c>
      <c r="H229" s="7">
        <f t="shared" si="98"/>
        <v>1816.3</v>
      </c>
      <c r="I229" s="7">
        <f t="shared" si="98"/>
        <v>1816.3</v>
      </c>
      <c r="J229" s="10"/>
    </row>
    <row r="230" spans="2:10">
      <c r="B230" s="20" t="s">
        <v>96</v>
      </c>
      <c r="C230" s="17" t="s">
        <v>147</v>
      </c>
      <c r="D230" s="17" t="s">
        <v>143</v>
      </c>
      <c r="E230" s="7" t="s">
        <v>182</v>
      </c>
      <c r="F230" s="7" t="s">
        <v>167</v>
      </c>
      <c r="G230" s="7">
        <f t="shared" si="98"/>
        <v>1816.3</v>
      </c>
      <c r="H230" s="7">
        <f t="shared" si="98"/>
        <v>1816.3</v>
      </c>
      <c r="I230" s="7">
        <f t="shared" si="98"/>
        <v>1816.3</v>
      </c>
      <c r="J230" s="10"/>
    </row>
    <row r="231" spans="2:10" ht="31.5">
      <c r="B231" s="20" t="s">
        <v>160</v>
      </c>
      <c r="C231" s="17" t="s">
        <v>147</v>
      </c>
      <c r="D231" s="17" t="s">
        <v>143</v>
      </c>
      <c r="E231" s="7" t="s">
        <v>188</v>
      </c>
      <c r="F231" s="7" t="s">
        <v>167</v>
      </c>
      <c r="G231" s="7">
        <f t="shared" si="98"/>
        <v>1816.3</v>
      </c>
      <c r="H231" s="7">
        <f t="shared" si="98"/>
        <v>1816.3</v>
      </c>
      <c r="I231" s="7">
        <f t="shared" si="98"/>
        <v>1816.3</v>
      </c>
      <c r="J231" s="10"/>
    </row>
    <row r="232" spans="2:10" ht="47.25">
      <c r="B232" s="20" t="s">
        <v>305</v>
      </c>
      <c r="C232" s="17" t="s">
        <v>147</v>
      </c>
      <c r="D232" s="17" t="s">
        <v>143</v>
      </c>
      <c r="E232" s="7" t="s">
        <v>189</v>
      </c>
      <c r="F232" s="7" t="s">
        <v>167</v>
      </c>
      <c r="G232" s="7">
        <f t="shared" si="98"/>
        <v>1816.3</v>
      </c>
      <c r="H232" s="7">
        <f t="shared" si="98"/>
        <v>1816.3</v>
      </c>
      <c r="I232" s="7">
        <f t="shared" si="98"/>
        <v>1816.3</v>
      </c>
      <c r="J232" s="10"/>
    </row>
    <row r="233" spans="2:10">
      <c r="B233" s="20" t="s">
        <v>186</v>
      </c>
      <c r="C233" s="17" t="s">
        <v>147</v>
      </c>
      <c r="D233" s="17" t="s">
        <v>143</v>
      </c>
      <c r="E233" s="7" t="s">
        <v>189</v>
      </c>
      <c r="F233" s="7" t="s">
        <v>187</v>
      </c>
      <c r="G233" s="7">
        <f>'5'!H229</f>
        <v>1816.3</v>
      </c>
      <c r="H233" s="7">
        <f>'5'!I229</f>
        <v>1816.3</v>
      </c>
      <c r="I233" s="7">
        <f>'5'!J229</f>
        <v>1816.3</v>
      </c>
      <c r="J233" s="10"/>
    </row>
    <row r="234" spans="2:10">
      <c r="B234" s="21" t="s">
        <v>140</v>
      </c>
      <c r="C234" s="17" t="s">
        <v>153</v>
      </c>
      <c r="D234" s="17" t="s">
        <v>167</v>
      </c>
      <c r="E234" s="7" t="s">
        <v>168</v>
      </c>
      <c r="F234" s="7" t="s">
        <v>167</v>
      </c>
      <c r="G234" s="15">
        <f t="shared" ref="G234:I237" si="99">G235</f>
        <v>40</v>
      </c>
      <c r="H234" s="15">
        <f t="shared" si="99"/>
        <v>50</v>
      </c>
      <c r="I234" s="15">
        <f t="shared" si="99"/>
        <v>50</v>
      </c>
      <c r="J234" s="10"/>
    </row>
    <row r="235" spans="2:10">
      <c r="B235" s="51" t="s">
        <v>141</v>
      </c>
      <c r="C235" s="17" t="s">
        <v>153</v>
      </c>
      <c r="D235" s="17" t="s">
        <v>154</v>
      </c>
      <c r="E235" s="7" t="s">
        <v>168</v>
      </c>
      <c r="F235" s="7" t="s">
        <v>167</v>
      </c>
      <c r="G235" s="7">
        <f t="shared" si="99"/>
        <v>40</v>
      </c>
      <c r="H235" s="7">
        <f t="shared" si="99"/>
        <v>50</v>
      </c>
      <c r="I235" s="7">
        <f t="shared" si="99"/>
        <v>50</v>
      </c>
      <c r="J235" s="10"/>
    </row>
    <row r="236" spans="2:10">
      <c r="B236" s="20" t="s">
        <v>319</v>
      </c>
      <c r="C236" s="17" t="s">
        <v>153</v>
      </c>
      <c r="D236" s="17" t="s">
        <v>154</v>
      </c>
      <c r="E236" s="7" t="s">
        <v>320</v>
      </c>
      <c r="F236" s="7" t="s">
        <v>167</v>
      </c>
      <c r="G236" s="7">
        <f t="shared" si="99"/>
        <v>40</v>
      </c>
      <c r="H236" s="7">
        <f t="shared" si="99"/>
        <v>50</v>
      </c>
      <c r="I236" s="7">
        <f t="shared" si="99"/>
        <v>50</v>
      </c>
      <c r="J236" s="10"/>
    </row>
    <row r="237" spans="2:10">
      <c r="B237" s="20" t="s">
        <v>321</v>
      </c>
      <c r="C237" s="17" t="s">
        <v>153</v>
      </c>
      <c r="D237" s="17" t="s">
        <v>154</v>
      </c>
      <c r="E237" s="7" t="s">
        <v>322</v>
      </c>
      <c r="F237" s="7" t="s">
        <v>167</v>
      </c>
      <c r="G237" s="7">
        <f t="shared" si="99"/>
        <v>40</v>
      </c>
      <c r="H237" s="7">
        <f t="shared" si="99"/>
        <v>50</v>
      </c>
      <c r="I237" s="7">
        <f t="shared" si="99"/>
        <v>50</v>
      </c>
      <c r="J237" s="10"/>
    </row>
    <row r="238" spans="2:10" ht="31.5">
      <c r="B238" s="20" t="s">
        <v>175</v>
      </c>
      <c r="C238" s="17" t="s">
        <v>153</v>
      </c>
      <c r="D238" s="17" t="s">
        <v>154</v>
      </c>
      <c r="E238" s="7" t="s">
        <v>322</v>
      </c>
      <c r="F238" s="7" t="s">
        <v>176</v>
      </c>
      <c r="G238" s="7">
        <f>'5'!H250</f>
        <v>40</v>
      </c>
      <c r="H238" s="7">
        <f>'5'!I250</f>
        <v>50</v>
      </c>
      <c r="I238" s="7">
        <f>'5'!J250</f>
        <v>50</v>
      </c>
      <c r="J238" s="10"/>
    </row>
    <row r="239" spans="2:10">
      <c r="B239" s="21" t="s">
        <v>142</v>
      </c>
      <c r="C239" s="17"/>
      <c r="D239" s="17"/>
      <c r="E239" s="7"/>
      <c r="F239" s="7"/>
      <c r="G239" s="15">
        <f>SUM(G23,G86,G99,G125,G197,G202,G223,G228,G234,)</f>
        <v>254124.17300000001</v>
      </c>
      <c r="H239" s="15">
        <f>SUM(H23,H86,H99,H125,H197,H202,H223,H228,H234,)</f>
        <v>60953.100000000006</v>
      </c>
      <c r="I239" s="15">
        <f>SUM(I23,I86,I99,I125,I197,I202,I223,I228,I234,)</f>
        <v>63615.700000000012</v>
      </c>
      <c r="J239" s="10"/>
    </row>
    <row r="240" spans="2:10">
      <c r="B240" s="19" t="s">
        <v>156</v>
      </c>
      <c r="C240" s="17"/>
      <c r="D240" s="17"/>
      <c r="E240" s="7"/>
      <c r="F240" s="7"/>
      <c r="G240" s="30"/>
      <c r="H240" s="30">
        <f>'5'!I252</f>
        <v>1512.5</v>
      </c>
      <c r="I240" s="30">
        <f>'5'!J252</f>
        <v>3170.4</v>
      </c>
      <c r="J240" s="10"/>
    </row>
    <row r="241" spans="2:10">
      <c r="B241" s="21" t="s">
        <v>161</v>
      </c>
      <c r="C241" s="17"/>
      <c r="D241" s="17"/>
      <c r="E241" s="7"/>
      <c r="F241" s="7"/>
      <c r="G241" s="15">
        <f>SUM(G239:G240)</f>
        <v>254124.17300000001</v>
      </c>
      <c r="H241" s="15">
        <f t="shared" ref="H241:I241" si="100">SUM(H239:H240)</f>
        <v>62465.600000000006</v>
      </c>
      <c r="I241" s="15">
        <f t="shared" si="100"/>
        <v>66786.100000000006</v>
      </c>
      <c r="J241" s="10"/>
    </row>
    <row r="243" spans="2:10">
      <c r="I243" s="10"/>
    </row>
  </sheetData>
  <mergeCells count="5"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256"/>
  <sheetViews>
    <sheetView view="pageBreakPreview" topLeftCell="B1" zoomScale="90" zoomScaleNormal="90" zoomScaleSheetLayoutView="90" workbookViewId="0">
      <selection activeCell="H129" sqref="H129"/>
    </sheetView>
  </sheetViews>
  <sheetFormatPr defaultColWidth="9.140625" defaultRowHeight="15.75"/>
  <cols>
    <col min="1" max="1" width="28.7109375" style="1" hidden="1" customWidth="1"/>
    <col min="2" max="2" width="52.42578125" style="1" customWidth="1"/>
    <col min="3" max="3" width="6.85546875" style="1" bestFit="1" customWidth="1"/>
    <col min="4" max="5" width="7.42578125" style="1" customWidth="1"/>
    <col min="6" max="6" width="14.42578125" style="1" bestFit="1" customWidth="1"/>
    <col min="7" max="7" width="7.28515625" style="1" customWidth="1"/>
    <col min="8" max="10" width="15.28515625" style="1" customWidth="1"/>
    <col min="11" max="16384" width="9.140625" style="1"/>
  </cols>
  <sheetData>
    <row r="1" spans="2:10">
      <c r="J1" s="2" t="s">
        <v>336</v>
      </c>
    </row>
    <row r="2" spans="2:10">
      <c r="J2" s="2" t="str">
        <f>'1'!F2</f>
        <v>к решению Городского Совета</v>
      </c>
    </row>
    <row r="3" spans="2:10">
      <c r="J3" s="2" t="str">
        <f>'1'!F3</f>
        <v>муниципального образования "Город Вытегра"</v>
      </c>
    </row>
    <row r="4" spans="2:10">
      <c r="J4" s="2" t="str">
        <f>'1'!F4</f>
        <v>от 17.10.2024 года № 115</v>
      </c>
    </row>
    <row r="6" spans="2:10">
      <c r="J6" s="2" t="s">
        <v>336</v>
      </c>
    </row>
    <row r="7" spans="2:10">
      <c r="J7" s="2" t="str">
        <f>'1'!F7</f>
        <v>к решению Городского Совета</v>
      </c>
    </row>
    <row r="8" spans="2:10">
      <c r="J8" s="2" t="str">
        <f>'1'!F8</f>
        <v>муниципального образования "Город Вытегра"</v>
      </c>
    </row>
    <row r="9" spans="2:10">
      <c r="J9" s="2" t="str">
        <f>'1'!F9</f>
        <v>"О бюджете муниципального образования "Город Вытегра"</v>
      </c>
    </row>
    <row r="10" spans="2:10">
      <c r="J10" s="2" t="str">
        <f>'1'!F10</f>
        <v>на 2024 год и плановый период 2025 и 2026 годов"</v>
      </c>
    </row>
    <row r="11" spans="2:10">
      <c r="J11" s="2" t="str">
        <f>'1'!F11</f>
        <v>от 14 декабря 2023 года № 78</v>
      </c>
    </row>
    <row r="13" spans="2:10">
      <c r="B13" s="3" t="s">
        <v>332</v>
      </c>
      <c r="C13" s="3"/>
      <c r="D13" s="3"/>
      <c r="E13" s="4"/>
      <c r="F13" s="4"/>
      <c r="G13" s="4"/>
      <c r="H13" s="4"/>
      <c r="I13" s="4"/>
      <c r="J13" s="4"/>
    </row>
    <row r="14" spans="2:10">
      <c r="B14" s="3" t="s">
        <v>333</v>
      </c>
      <c r="C14" s="3"/>
      <c r="D14" s="3"/>
      <c r="E14" s="4"/>
      <c r="F14" s="4"/>
      <c r="G14" s="4"/>
      <c r="H14" s="4"/>
      <c r="I14" s="4"/>
      <c r="J14" s="4"/>
    </row>
    <row r="15" spans="2:10">
      <c r="B15" s="3" t="s">
        <v>343</v>
      </c>
      <c r="C15" s="3"/>
      <c r="D15" s="3"/>
      <c r="E15" s="4"/>
      <c r="F15" s="4"/>
      <c r="G15" s="4"/>
      <c r="H15" s="4"/>
      <c r="I15" s="4"/>
      <c r="J15" s="4"/>
    </row>
    <row r="16" spans="2:10">
      <c r="B16" s="3" t="s">
        <v>342</v>
      </c>
      <c r="C16" s="3"/>
      <c r="D16" s="3"/>
      <c r="E16" s="4"/>
      <c r="F16" s="4"/>
      <c r="G16" s="4"/>
      <c r="H16" s="4"/>
      <c r="I16" s="4"/>
      <c r="J16" s="4"/>
    </row>
    <row r="17" spans="2:11">
      <c r="B17" s="3" t="s">
        <v>345</v>
      </c>
      <c r="C17" s="3"/>
      <c r="D17" s="3"/>
      <c r="E17" s="4"/>
      <c r="F17" s="4"/>
      <c r="G17" s="4"/>
      <c r="H17" s="4"/>
      <c r="I17" s="4"/>
      <c r="J17" s="4"/>
    </row>
    <row r="18" spans="2:11">
      <c r="B18" s="3" t="str">
        <f>справочник!A2</f>
        <v>НА 2024 ГОД И ПЛАНОВЫЙ ПЕРИОД 2025 И 2026 ГОДОВ</v>
      </c>
      <c r="C18" s="3"/>
      <c r="D18" s="3"/>
      <c r="E18" s="4"/>
      <c r="F18" s="4"/>
      <c r="G18" s="4"/>
      <c r="H18" s="4"/>
      <c r="I18" s="4"/>
      <c r="J18" s="4"/>
    </row>
    <row r="19" spans="2:11">
      <c r="B19" s="3"/>
      <c r="C19" s="3"/>
      <c r="D19" s="3"/>
      <c r="E19" s="4"/>
      <c r="F19" s="4"/>
      <c r="G19" s="4"/>
      <c r="H19" s="4"/>
      <c r="I19" s="4"/>
      <c r="J19" s="4"/>
    </row>
    <row r="20" spans="2:11">
      <c r="J20" s="2" t="s">
        <v>7</v>
      </c>
    </row>
    <row r="21" spans="2:11">
      <c r="B21" s="73" t="s">
        <v>107</v>
      </c>
      <c r="C21" s="72" t="s">
        <v>330</v>
      </c>
      <c r="D21" s="72" t="s">
        <v>327</v>
      </c>
      <c r="E21" s="72" t="s">
        <v>328</v>
      </c>
      <c r="F21" s="74" t="s">
        <v>163</v>
      </c>
      <c r="G21" s="74" t="s">
        <v>164</v>
      </c>
      <c r="H21" s="25" t="s">
        <v>106</v>
      </c>
      <c r="I21" s="25"/>
      <c r="J21" s="25"/>
    </row>
    <row r="22" spans="2:11">
      <c r="B22" s="73"/>
      <c r="C22" s="72"/>
      <c r="D22" s="72"/>
      <c r="E22" s="72"/>
      <c r="F22" s="75"/>
      <c r="G22" s="75"/>
      <c r="H22" s="26" t="str">
        <f>'1'!D20</f>
        <v>2024 год</v>
      </c>
      <c r="I22" s="47" t="str">
        <f>'1'!E20</f>
        <v>2025 год</v>
      </c>
      <c r="J22" s="27" t="str">
        <f>'1'!F20</f>
        <v>2026 год</v>
      </c>
    </row>
    <row r="23" spans="2:11">
      <c r="B23" s="5">
        <v>1</v>
      </c>
      <c r="C23" s="5">
        <v>2</v>
      </c>
      <c r="D23" s="5">
        <v>3</v>
      </c>
      <c r="E23" s="5">
        <v>4</v>
      </c>
      <c r="F23" s="5">
        <v>5</v>
      </c>
      <c r="G23" s="5">
        <v>6</v>
      </c>
      <c r="H23" s="5">
        <v>7</v>
      </c>
      <c r="I23" s="5">
        <v>8</v>
      </c>
      <c r="J23" s="5">
        <v>9</v>
      </c>
    </row>
    <row r="24" spans="2:11" ht="31.5">
      <c r="B24" s="21" t="s">
        <v>334</v>
      </c>
      <c r="C24" s="27">
        <v>849</v>
      </c>
      <c r="D24" s="17"/>
      <c r="E24" s="17"/>
      <c r="F24" s="7"/>
      <c r="G24" s="7"/>
      <c r="H24" s="15">
        <f>SUM(H25,H79,H92,H118,H193,H198,H219,H224,)</f>
        <v>252554.37300000002</v>
      </c>
      <c r="I24" s="15">
        <f>SUM(I25,I79,I92,I118,I193,I198,I219,I224,)</f>
        <v>59402.5</v>
      </c>
      <c r="J24" s="15">
        <f>SUM(J25,J79,J92,J118,J193,J198,J219,J224,)</f>
        <v>62065.100000000006</v>
      </c>
      <c r="K24" s="10"/>
    </row>
    <row r="25" spans="2:11">
      <c r="B25" s="21" t="s">
        <v>108</v>
      </c>
      <c r="C25" s="5">
        <v>849</v>
      </c>
      <c r="D25" s="17" t="s">
        <v>143</v>
      </c>
      <c r="E25" s="17" t="s">
        <v>167</v>
      </c>
      <c r="F25" s="7" t="s">
        <v>168</v>
      </c>
      <c r="G25" s="7" t="s">
        <v>167</v>
      </c>
      <c r="H25" s="7">
        <f>SUM(H26,H54,H59,H63)</f>
        <v>26213.173000000003</v>
      </c>
      <c r="I25" s="7">
        <f>SUM(I26,I54,I59,I63)</f>
        <v>13439.8</v>
      </c>
      <c r="J25" s="7">
        <f>SUM(J26,J54,J59,J63)</f>
        <v>13439.8</v>
      </c>
      <c r="K25" s="10"/>
    </row>
    <row r="26" spans="2:11" ht="63">
      <c r="B26" s="20" t="s">
        <v>110</v>
      </c>
      <c r="C26" s="5">
        <v>849</v>
      </c>
      <c r="D26" s="17" t="s">
        <v>143</v>
      </c>
      <c r="E26" s="17" t="s">
        <v>145</v>
      </c>
      <c r="F26" s="7" t="s">
        <v>168</v>
      </c>
      <c r="G26" s="7" t="s">
        <v>167</v>
      </c>
      <c r="H26" s="7">
        <f>SUM(H27,H30,H49)</f>
        <v>11757.9</v>
      </c>
      <c r="I26" s="7">
        <f>SUM(I27,I30,I49)</f>
        <v>11344.9</v>
      </c>
      <c r="J26" s="7">
        <f>SUM(J27,J30,J49)</f>
        <v>11344.9</v>
      </c>
      <c r="K26" s="10"/>
    </row>
    <row r="27" spans="2:11">
      <c r="B27" s="20" t="s">
        <v>179</v>
      </c>
      <c r="C27" s="5">
        <v>849</v>
      </c>
      <c r="D27" s="17" t="s">
        <v>143</v>
      </c>
      <c r="E27" s="17" t="s">
        <v>145</v>
      </c>
      <c r="F27" s="7" t="s">
        <v>180</v>
      </c>
      <c r="G27" s="7" t="s">
        <v>167</v>
      </c>
      <c r="H27" s="7">
        <f t="shared" ref="H27:J28" si="0">H28</f>
        <v>2</v>
      </c>
      <c r="I27" s="7">
        <f t="shared" si="0"/>
        <v>2</v>
      </c>
      <c r="J27" s="7">
        <f t="shared" si="0"/>
        <v>2</v>
      </c>
      <c r="K27" s="10"/>
    </row>
    <row r="28" spans="2:11" ht="189" customHeight="1">
      <c r="B28" s="20" t="s">
        <v>323</v>
      </c>
      <c r="C28" s="5">
        <v>849</v>
      </c>
      <c r="D28" s="17" t="s">
        <v>143</v>
      </c>
      <c r="E28" s="17" t="s">
        <v>145</v>
      </c>
      <c r="F28" s="7" t="s">
        <v>181</v>
      </c>
      <c r="G28" s="7" t="s">
        <v>167</v>
      </c>
      <c r="H28" s="7">
        <f t="shared" si="0"/>
        <v>2</v>
      </c>
      <c r="I28" s="7">
        <f t="shared" si="0"/>
        <v>2</v>
      </c>
      <c r="J28" s="7">
        <f t="shared" si="0"/>
        <v>2</v>
      </c>
      <c r="K28" s="10"/>
    </row>
    <row r="29" spans="2:11" ht="31.5" customHeight="1">
      <c r="B29" s="20" t="s">
        <v>175</v>
      </c>
      <c r="C29" s="5">
        <v>849</v>
      </c>
      <c r="D29" s="17" t="s">
        <v>143</v>
      </c>
      <c r="E29" s="17" t="s">
        <v>145</v>
      </c>
      <c r="F29" s="7" t="s">
        <v>181</v>
      </c>
      <c r="G29" s="7" t="s">
        <v>176</v>
      </c>
      <c r="H29" s="7">
        <v>2</v>
      </c>
      <c r="I29" s="7">
        <v>2</v>
      </c>
      <c r="J29" s="7">
        <v>2</v>
      </c>
      <c r="K29" s="10"/>
    </row>
    <row r="30" spans="2:11">
      <c r="B30" s="20" t="s">
        <v>96</v>
      </c>
      <c r="C30" s="5">
        <v>849</v>
      </c>
      <c r="D30" s="17" t="s">
        <v>143</v>
      </c>
      <c r="E30" s="17" t="s">
        <v>145</v>
      </c>
      <c r="F30" s="7" t="s">
        <v>182</v>
      </c>
      <c r="G30" s="7" t="s">
        <v>167</v>
      </c>
      <c r="H30" s="7">
        <f>SUM(H31,H34,H37,H40,H43,H46)</f>
        <v>1253.3</v>
      </c>
      <c r="I30" s="7">
        <f t="shared" ref="I30:J30" si="1">SUM(I31,I34,I37,I40,I43,I46)</f>
        <v>749</v>
      </c>
      <c r="J30" s="7">
        <f t="shared" si="1"/>
        <v>749</v>
      </c>
      <c r="K30" s="10"/>
    </row>
    <row r="31" spans="2:11" ht="31.5" customHeight="1">
      <c r="B31" s="20" t="s">
        <v>113</v>
      </c>
      <c r="C31" s="5">
        <v>849</v>
      </c>
      <c r="D31" s="17" t="s">
        <v>143</v>
      </c>
      <c r="E31" s="17" t="s">
        <v>145</v>
      </c>
      <c r="F31" s="7" t="s">
        <v>183</v>
      </c>
      <c r="G31" s="7" t="s">
        <v>167</v>
      </c>
      <c r="H31" s="7">
        <f t="shared" ref="H31:J32" si="2">H32</f>
        <v>435.5</v>
      </c>
      <c r="I31" s="7">
        <f t="shared" si="2"/>
        <v>435.5</v>
      </c>
      <c r="J31" s="7">
        <f t="shared" si="2"/>
        <v>435.5</v>
      </c>
      <c r="K31" s="10"/>
    </row>
    <row r="32" spans="2:11" ht="47.25">
      <c r="B32" s="20" t="s">
        <v>184</v>
      </c>
      <c r="C32" s="5">
        <v>849</v>
      </c>
      <c r="D32" s="17" t="s">
        <v>143</v>
      </c>
      <c r="E32" s="17" t="s">
        <v>145</v>
      </c>
      <c r="F32" s="7" t="s">
        <v>185</v>
      </c>
      <c r="G32" s="7" t="s">
        <v>167</v>
      </c>
      <c r="H32" s="7">
        <f t="shared" si="2"/>
        <v>435.5</v>
      </c>
      <c r="I32" s="7">
        <f t="shared" si="2"/>
        <v>435.5</v>
      </c>
      <c r="J32" s="7">
        <f t="shared" si="2"/>
        <v>435.5</v>
      </c>
      <c r="K32" s="10"/>
    </row>
    <row r="33" spans="2:11">
      <c r="B33" s="20" t="s">
        <v>186</v>
      </c>
      <c r="C33" s="5">
        <v>849</v>
      </c>
      <c r="D33" s="17" t="s">
        <v>143</v>
      </c>
      <c r="E33" s="17" t="s">
        <v>145</v>
      </c>
      <c r="F33" s="7" t="s">
        <v>185</v>
      </c>
      <c r="G33" s="7" t="s">
        <v>187</v>
      </c>
      <c r="H33" s="7">
        <v>435.5</v>
      </c>
      <c r="I33" s="7">
        <v>435.5</v>
      </c>
      <c r="J33" s="7">
        <v>435.5</v>
      </c>
      <c r="K33" s="10"/>
    </row>
    <row r="34" spans="2:11" ht="31.5" customHeight="1">
      <c r="B34" s="20" t="s">
        <v>160</v>
      </c>
      <c r="C34" s="5">
        <v>849</v>
      </c>
      <c r="D34" s="17" t="s">
        <v>143</v>
      </c>
      <c r="E34" s="17" t="s">
        <v>145</v>
      </c>
      <c r="F34" s="7" t="s">
        <v>188</v>
      </c>
      <c r="G34" s="7" t="s">
        <v>167</v>
      </c>
      <c r="H34" s="7">
        <f t="shared" ref="H34:J35" si="3">H35</f>
        <v>65.400000000000006</v>
      </c>
      <c r="I34" s="7">
        <f t="shared" si="3"/>
        <v>65.400000000000006</v>
      </c>
      <c r="J34" s="7">
        <f t="shared" si="3"/>
        <v>65.400000000000006</v>
      </c>
      <c r="K34" s="10"/>
    </row>
    <row r="35" spans="2:11" ht="47.25">
      <c r="B35" s="20" t="s">
        <v>184</v>
      </c>
      <c r="C35" s="5">
        <v>849</v>
      </c>
      <c r="D35" s="17" t="s">
        <v>143</v>
      </c>
      <c r="E35" s="17" t="s">
        <v>145</v>
      </c>
      <c r="F35" s="7" t="s">
        <v>189</v>
      </c>
      <c r="G35" s="7" t="s">
        <v>167</v>
      </c>
      <c r="H35" s="7">
        <f t="shared" si="3"/>
        <v>65.400000000000006</v>
      </c>
      <c r="I35" s="7">
        <f t="shared" si="3"/>
        <v>65.400000000000006</v>
      </c>
      <c r="J35" s="7">
        <f t="shared" si="3"/>
        <v>65.400000000000006</v>
      </c>
      <c r="K35" s="10"/>
    </row>
    <row r="36" spans="2:11">
      <c r="B36" s="20" t="s">
        <v>186</v>
      </c>
      <c r="C36" s="5">
        <v>849</v>
      </c>
      <c r="D36" s="17" t="s">
        <v>143</v>
      </c>
      <c r="E36" s="17" t="s">
        <v>145</v>
      </c>
      <c r="F36" s="7" t="s">
        <v>189</v>
      </c>
      <c r="G36" s="7" t="s">
        <v>187</v>
      </c>
      <c r="H36" s="7">
        <v>65.400000000000006</v>
      </c>
      <c r="I36" s="7">
        <v>65.400000000000006</v>
      </c>
      <c r="J36" s="7">
        <v>65.400000000000006</v>
      </c>
      <c r="K36" s="10"/>
    </row>
    <row r="37" spans="2:11" ht="63" customHeight="1">
      <c r="B37" s="20" t="s">
        <v>190</v>
      </c>
      <c r="C37" s="5">
        <v>849</v>
      </c>
      <c r="D37" s="17" t="s">
        <v>143</v>
      </c>
      <c r="E37" s="17" t="s">
        <v>145</v>
      </c>
      <c r="F37" s="7" t="s">
        <v>191</v>
      </c>
      <c r="G37" s="7" t="s">
        <v>167</v>
      </c>
      <c r="H37" s="7">
        <f t="shared" ref="H37:J38" si="4">H38</f>
        <v>142.30000000000001</v>
      </c>
      <c r="I37" s="7">
        <f t="shared" si="4"/>
        <v>142.30000000000001</v>
      </c>
      <c r="J37" s="7">
        <f t="shared" si="4"/>
        <v>142.30000000000001</v>
      </c>
      <c r="K37" s="10"/>
    </row>
    <row r="38" spans="2:11" ht="47.25">
      <c r="B38" s="20" t="s">
        <v>184</v>
      </c>
      <c r="C38" s="5">
        <v>849</v>
      </c>
      <c r="D38" s="17" t="s">
        <v>143</v>
      </c>
      <c r="E38" s="17" t="s">
        <v>145</v>
      </c>
      <c r="F38" s="7" t="s">
        <v>192</v>
      </c>
      <c r="G38" s="7" t="s">
        <v>167</v>
      </c>
      <c r="H38" s="7">
        <f t="shared" si="4"/>
        <v>142.30000000000001</v>
      </c>
      <c r="I38" s="7">
        <f t="shared" si="4"/>
        <v>142.30000000000001</v>
      </c>
      <c r="J38" s="7">
        <f t="shared" si="4"/>
        <v>142.30000000000001</v>
      </c>
      <c r="K38" s="10"/>
    </row>
    <row r="39" spans="2:11">
      <c r="B39" s="20" t="s">
        <v>186</v>
      </c>
      <c r="C39" s="5">
        <v>849</v>
      </c>
      <c r="D39" s="17" t="s">
        <v>143</v>
      </c>
      <c r="E39" s="17" t="s">
        <v>145</v>
      </c>
      <c r="F39" s="7" t="s">
        <v>192</v>
      </c>
      <c r="G39" s="7" t="s">
        <v>187</v>
      </c>
      <c r="H39" s="7">
        <v>142.30000000000001</v>
      </c>
      <c r="I39" s="7">
        <v>142.30000000000001</v>
      </c>
      <c r="J39" s="7">
        <v>142.30000000000001</v>
      </c>
      <c r="K39" s="10"/>
    </row>
    <row r="40" spans="2:11" ht="31.5" customHeight="1">
      <c r="B40" s="20" t="s">
        <v>193</v>
      </c>
      <c r="C40" s="5">
        <v>849</v>
      </c>
      <c r="D40" s="17" t="s">
        <v>143</v>
      </c>
      <c r="E40" s="17" t="s">
        <v>145</v>
      </c>
      <c r="F40" s="7" t="s">
        <v>194</v>
      </c>
      <c r="G40" s="7" t="s">
        <v>167</v>
      </c>
      <c r="H40" s="7">
        <f t="shared" ref="H40:J41" si="5">H41</f>
        <v>60.5</v>
      </c>
      <c r="I40" s="7">
        <f t="shared" si="5"/>
        <v>60.5</v>
      </c>
      <c r="J40" s="7">
        <f t="shared" si="5"/>
        <v>60.5</v>
      </c>
      <c r="K40" s="10"/>
    </row>
    <row r="41" spans="2:11" ht="47.25">
      <c r="B41" s="20" t="s">
        <v>184</v>
      </c>
      <c r="C41" s="5">
        <v>849</v>
      </c>
      <c r="D41" s="17" t="s">
        <v>143</v>
      </c>
      <c r="E41" s="17" t="s">
        <v>145</v>
      </c>
      <c r="F41" s="7" t="s">
        <v>195</v>
      </c>
      <c r="G41" s="7" t="s">
        <v>167</v>
      </c>
      <c r="H41" s="7">
        <f t="shared" si="5"/>
        <v>60.5</v>
      </c>
      <c r="I41" s="7">
        <f t="shared" si="5"/>
        <v>60.5</v>
      </c>
      <c r="J41" s="7">
        <f t="shared" si="5"/>
        <v>60.5</v>
      </c>
      <c r="K41" s="10"/>
    </row>
    <row r="42" spans="2:11">
      <c r="B42" s="20" t="s">
        <v>186</v>
      </c>
      <c r="C42" s="5">
        <v>849</v>
      </c>
      <c r="D42" s="17" t="s">
        <v>143</v>
      </c>
      <c r="E42" s="17" t="s">
        <v>145</v>
      </c>
      <c r="F42" s="7" t="s">
        <v>195</v>
      </c>
      <c r="G42" s="7" t="s">
        <v>187</v>
      </c>
      <c r="H42" s="7">
        <v>60.5</v>
      </c>
      <c r="I42" s="7">
        <v>60.5</v>
      </c>
      <c r="J42" s="7">
        <v>60.5</v>
      </c>
      <c r="K42" s="10"/>
    </row>
    <row r="43" spans="2:11" ht="31.5" customHeight="1">
      <c r="B43" s="20" t="s">
        <v>114</v>
      </c>
      <c r="C43" s="5">
        <v>849</v>
      </c>
      <c r="D43" s="17" t="s">
        <v>143</v>
      </c>
      <c r="E43" s="17" t="s">
        <v>145</v>
      </c>
      <c r="F43" s="7" t="s">
        <v>196</v>
      </c>
      <c r="G43" s="7" t="s">
        <v>167</v>
      </c>
      <c r="H43" s="7">
        <f t="shared" ref="H43:J44" si="6">H44</f>
        <v>45.3</v>
      </c>
      <c r="I43" s="7">
        <f t="shared" si="6"/>
        <v>45.3</v>
      </c>
      <c r="J43" s="7">
        <f t="shared" si="6"/>
        <v>45.3</v>
      </c>
      <c r="K43" s="10"/>
    </row>
    <row r="44" spans="2:11" ht="47.25">
      <c r="B44" s="20" t="s">
        <v>184</v>
      </c>
      <c r="C44" s="5">
        <v>849</v>
      </c>
      <c r="D44" s="17" t="s">
        <v>143</v>
      </c>
      <c r="E44" s="17" t="s">
        <v>145</v>
      </c>
      <c r="F44" s="7" t="s">
        <v>197</v>
      </c>
      <c r="G44" s="7" t="s">
        <v>167</v>
      </c>
      <c r="H44" s="7">
        <f t="shared" si="6"/>
        <v>45.3</v>
      </c>
      <c r="I44" s="7">
        <f t="shared" si="6"/>
        <v>45.3</v>
      </c>
      <c r="J44" s="7">
        <f t="shared" si="6"/>
        <v>45.3</v>
      </c>
      <c r="K44" s="10"/>
    </row>
    <row r="45" spans="2:11">
      <c r="B45" s="20" t="s">
        <v>186</v>
      </c>
      <c r="C45" s="5">
        <v>849</v>
      </c>
      <c r="D45" s="17" t="s">
        <v>143</v>
      </c>
      <c r="E45" s="17" t="s">
        <v>145</v>
      </c>
      <c r="F45" s="7" t="s">
        <v>197</v>
      </c>
      <c r="G45" s="7" t="s">
        <v>187</v>
      </c>
      <c r="H45" s="7">
        <v>45.3</v>
      </c>
      <c r="I45" s="7">
        <v>45.3</v>
      </c>
      <c r="J45" s="7">
        <v>45.3</v>
      </c>
      <c r="K45" s="10"/>
    </row>
    <row r="46" spans="2:11" ht="50.25" customHeight="1">
      <c r="B46" s="34" t="s">
        <v>387</v>
      </c>
      <c r="C46" s="55">
        <v>849</v>
      </c>
      <c r="D46" s="56" t="s">
        <v>143</v>
      </c>
      <c r="E46" s="56" t="s">
        <v>145</v>
      </c>
      <c r="F46" s="57" t="s">
        <v>395</v>
      </c>
      <c r="G46" s="57"/>
      <c r="H46" s="57">
        <f>H47</f>
        <v>504.3</v>
      </c>
      <c r="I46" s="57">
        <f t="shared" ref="I46:J47" si="7">I47</f>
        <v>0</v>
      </c>
      <c r="J46" s="57">
        <f t="shared" si="7"/>
        <v>0</v>
      </c>
      <c r="K46" s="10"/>
    </row>
    <row r="47" spans="2:11" ht="47.25">
      <c r="B47" s="34" t="s">
        <v>184</v>
      </c>
      <c r="C47" s="55">
        <v>849</v>
      </c>
      <c r="D47" s="56" t="s">
        <v>143</v>
      </c>
      <c r="E47" s="56" t="s">
        <v>145</v>
      </c>
      <c r="F47" s="57" t="s">
        <v>394</v>
      </c>
      <c r="G47" s="57"/>
      <c r="H47" s="57">
        <f>H48</f>
        <v>504.3</v>
      </c>
      <c r="I47" s="57">
        <f t="shared" si="7"/>
        <v>0</v>
      </c>
      <c r="J47" s="57">
        <f t="shared" si="7"/>
        <v>0</v>
      </c>
      <c r="K47" s="10"/>
    </row>
    <row r="48" spans="2:11">
      <c r="B48" s="34" t="s">
        <v>186</v>
      </c>
      <c r="C48" s="55">
        <v>849</v>
      </c>
      <c r="D48" s="56" t="s">
        <v>143</v>
      </c>
      <c r="E48" s="56" t="s">
        <v>145</v>
      </c>
      <c r="F48" s="57" t="s">
        <v>394</v>
      </c>
      <c r="G48" s="56">
        <v>540</v>
      </c>
      <c r="H48" s="57">
        <f>588.5-84.2</f>
        <v>504.3</v>
      </c>
      <c r="I48" s="57">
        <v>0</v>
      </c>
      <c r="J48" s="57">
        <v>0</v>
      </c>
      <c r="K48" s="10"/>
    </row>
    <row r="49" spans="2:11" ht="31.5">
      <c r="B49" s="20" t="s">
        <v>198</v>
      </c>
      <c r="C49" s="5">
        <v>849</v>
      </c>
      <c r="D49" s="17" t="s">
        <v>143</v>
      </c>
      <c r="E49" s="17" t="s">
        <v>145</v>
      </c>
      <c r="F49" s="7" t="s">
        <v>199</v>
      </c>
      <c r="G49" s="7" t="s">
        <v>167</v>
      </c>
      <c r="H49" s="7">
        <f>H50</f>
        <v>10502.6</v>
      </c>
      <c r="I49" s="7">
        <f>I50</f>
        <v>10593.9</v>
      </c>
      <c r="J49" s="7">
        <f>J50</f>
        <v>10593.9</v>
      </c>
      <c r="K49" s="10"/>
    </row>
    <row r="50" spans="2:11" ht="31.5">
      <c r="B50" s="20" t="s">
        <v>171</v>
      </c>
      <c r="C50" s="5">
        <v>849</v>
      </c>
      <c r="D50" s="17" t="s">
        <v>143</v>
      </c>
      <c r="E50" s="17" t="s">
        <v>145</v>
      </c>
      <c r="F50" s="7" t="s">
        <v>200</v>
      </c>
      <c r="G50" s="7" t="s">
        <v>167</v>
      </c>
      <c r="H50" s="7">
        <f>SUM(H51:H53)</f>
        <v>10502.6</v>
      </c>
      <c r="I50" s="7">
        <f>SUM(I51:I53)</f>
        <v>10593.9</v>
      </c>
      <c r="J50" s="7">
        <f>SUM(J51:J53)</f>
        <v>10593.9</v>
      </c>
      <c r="K50" s="10"/>
    </row>
    <row r="51" spans="2:11" ht="31.5">
      <c r="B51" s="20" t="s">
        <v>173</v>
      </c>
      <c r="C51" s="5">
        <v>849</v>
      </c>
      <c r="D51" s="17" t="s">
        <v>143</v>
      </c>
      <c r="E51" s="17" t="s">
        <v>145</v>
      </c>
      <c r="F51" s="7" t="s">
        <v>200</v>
      </c>
      <c r="G51" s="7" t="s">
        <v>174</v>
      </c>
      <c r="H51" s="7">
        <f>6749.2-317.3+317.3+376.3</f>
        <v>7125.5</v>
      </c>
      <c r="I51" s="7">
        <v>6749.2</v>
      </c>
      <c r="J51" s="7">
        <v>6749.2</v>
      </c>
      <c r="K51" s="10"/>
    </row>
    <row r="52" spans="2:11" ht="31.5" customHeight="1">
      <c r="B52" s="20" t="s">
        <v>175</v>
      </c>
      <c r="C52" s="5">
        <v>849</v>
      </c>
      <c r="D52" s="17" t="s">
        <v>143</v>
      </c>
      <c r="E52" s="17" t="s">
        <v>145</v>
      </c>
      <c r="F52" s="7" t="s">
        <v>200</v>
      </c>
      <c r="G52" s="7" t="s">
        <v>176</v>
      </c>
      <c r="H52" s="7">
        <f>3143+110+207.3+20+2.4-155.6</f>
        <v>3327.1000000000004</v>
      </c>
      <c r="I52" s="7">
        <v>3794.7</v>
      </c>
      <c r="J52" s="7">
        <v>3794.7</v>
      </c>
      <c r="K52" s="10"/>
    </row>
    <row r="53" spans="2:11">
      <c r="B53" s="20" t="s">
        <v>201</v>
      </c>
      <c r="C53" s="5">
        <v>849</v>
      </c>
      <c r="D53" s="17" t="s">
        <v>143</v>
      </c>
      <c r="E53" s="17" t="s">
        <v>145</v>
      </c>
      <c r="F53" s="7" t="s">
        <v>200</v>
      </c>
      <c r="G53" s="7" t="s">
        <v>202</v>
      </c>
      <c r="H53" s="7">
        <v>50</v>
      </c>
      <c r="I53" s="7">
        <v>50</v>
      </c>
      <c r="J53" s="7">
        <v>50</v>
      </c>
      <c r="K53" s="10"/>
    </row>
    <row r="54" spans="2:11" ht="47.25">
      <c r="B54" s="20" t="s">
        <v>116</v>
      </c>
      <c r="C54" s="5">
        <v>849</v>
      </c>
      <c r="D54" s="17" t="s">
        <v>143</v>
      </c>
      <c r="E54" s="17" t="s">
        <v>146</v>
      </c>
      <c r="F54" s="7" t="s">
        <v>168</v>
      </c>
      <c r="G54" s="7" t="s">
        <v>167</v>
      </c>
      <c r="H54" s="15">
        <f>H55</f>
        <v>345</v>
      </c>
      <c r="I54" s="15">
        <f>I55</f>
        <v>345</v>
      </c>
      <c r="J54" s="15">
        <f>J55</f>
        <v>345</v>
      </c>
      <c r="K54" s="10"/>
    </row>
    <row r="55" spans="2:11">
      <c r="B55" s="20" t="s">
        <v>186</v>
      </c>
      <c r="C55" s="5">
        <v>849</v>
      </c>
      <c r="D55" s="17" t="s">
        <v>143</v>
      </c>
      <c r="E55" s="17" t="s">
        <v>146</v>
      </c>
      <c r="F55" s="7" t="s">
        <v>182</v>
      </c>
      <c r="G55" s="7" t="s">
        <v>167</v>
      </c>
      <c r="H55" s="7">
        <f>SUM(H56,)</f>
        <v>345</v>
      </c>
      <c r="I55" s="7">
        <f>SUM(I56,)</f>
        <v>345</v>
      </c>
      <c r="J55" s="7">
        <f>SUM(J56,)</f>
        <v>345</v>
      </c>
      <c r="K55" s="10"/>
    </row>
    <row r="56" spans="2:11" ht="78.75" customHeight="1">
      <c r="B56" s="20" t="s">
        <v>117</v>
      </c>
      <c r="C56" s="5">
        <v>849</v>
      </c>
      <c r="D56" s="17" t="s">
        <v>143</v>
      </c>
      <c r="E56" s="17" t="s">
        <v>146</v>
      </c>
      <c r="F56" s="7" t="s">
        <v>203</v>
      </c>
      <c r="G56" s="7" t="s">
        <v>167</v>
      </c>
      <c r="H56" s="7">
        <f t="shared" ref="H56:J57" si="8">H57</f>
        <v>345</v>
      </c>
      <c r="I56" s="7">
        <f t="shared" si="8"/>
        <v>345</v>
      </c>
      <c r="J56" s="7">
        <f t="shared" si="8"/>
        <v>345</v>
      </c>
      <c r="K56" s="10"/>
    </row>
    <row r="57" spans="2:11" ht="47.25">
      <c r="B57" s="20" t="s">
        <v>184</v>
      </c>
      <c r="C57" s="5">
        <v>849</v>
      </c>
      <c r="D57" s="17" t="s">
        <v>143</v>
      </c>
      <c r="E57" s="17" t="s">
        <v>146</v>
      </c>
      <c r="F57" s="7" t="s">
        <v>204</v>
      </c>
      <c r="G57" s="7" t="s">
        <v>167</v>
      </c>
      <c r="H57" s="7">
        <f t="shared" si="8"/>
        <v>345</v>
      </c>
      <c r="I57" s="7">
        <f t="shared" si="8"/>
        <v>345</v>
      </c>
      <c r="J57" s="7">
        <f t="shared" si="8"/>
        <v>345</v>
      </c>
      <c r="K57" s="10"/>
    </row>
    <row r="58" spans="2:11">
      <c r="B58" s="20" t="s">
        <v>186</v>
      </c>
      <c r="C58" s="5">
        <v>849</v>
      </c>
      <c r="D58" s="17" t="s">
        <v>143</v>
      </c>
      <c r="E58" s="17" t="s">
        <v>146</v>
      </c>
      <c r="F58" s="7" t="s">
        <v>204</v>
      </c>
      <c r="G58" s="7" t="s">
        <v>187</v>
      </c>
      <c r="H58" s="7">
        <v>345</v>
      </c>
      <c r="I58" s="7">
        <v>345</v>
      </c>
      <c r="J58" s="7">
        <v>345</v>
      </c>
      <c r="K58" s="10"/>
    </row>
    <row r="59" spans="2:11">
      <c r="B59" s="21" t="s">
        <v>119</v>
      </c>
      <c r="C59" s="5">
        <v>849</v>
      </c>
      <c r="D59" s="17" t="s">
        <v>143</v>
      </c>
      <c r="E59" s="17" t="s">
        <v>147</v>
      </c>
      <c r="F59" s="7" t="s">
        <v>168</v>
      </c>
      <c r="G59" s="7" t="s">
        <v>167</v>
      </c>
      <c r="H59" s="15">
        <f t="shared" ref="H59:J61" si="9">H60</f>
        <v>100</v>
      </c>
      <c r="I59" s="15">
        <f t="shared" si="9"/>
        <v>500</v>
      </c>
      <c r="J59" s="15">
        <f t="shared" si="9"/>
        <v>500</v>
      </c>
      <c r="K59" s="10"/>
    </row>
    <row r="60" spans="2:11">
      <c r="B60" s="20" t="s">
        <v>119</v>
      </c>
      <c r="C60" s="5">
        <v>849</v>
      </c>
      <c r="D60" s="17" t="s">
        <v>143</v>
      </c>
      <c r="E60" s="17" t="s">
        <v>147</v>
      </c>
      <c r="F60" s="7" t="s">
        <v>207</v>
      </c>
      <c r="G60" s="7" t="s">
        <v>167</v>
      </c>
      <c r="H60" s="7">
        <f t="shared" si="9"/>
        <v>100</v>
      </c>
      <c r="I60" s="7">
        <f t="shared" si="9"/>
        <v>500</v>
      </c>
      <c r="J60" s="7">
        <f t="shared" si="9"/>
        <v>500</v>
      </c>
      <c r="K60" s="10"/>
    </row>
    <row r="61" spans="2:11">
      <c r="B61" s="20" t="s">
        <v>208</v>
      </c>
      <c r="C61" s="5">
        <v>849</v>
      </c>
      <c r="D61" s="17" t="s">
        <v>143</v>
      </c>
      <c r="E61" s="17" t="s">
        <v>147</v>
      </c>
      <c r="F61" s="7" t="s">
        <v>209</v>
      </c>
      <c r="G61" s="7" t="s">
        <v>167</v>
      </c>
      <c r="H61" s="7">
        <f t="shared" si="9"/>
        <v>100</v>
      </c>
      <c r="I61" s="7">
        <f t="shared" si="9"/>
        <v>500</v>
      </c>
      <c r="J61" s="7">
        <f t="shared" si="9"/>
        <v>500</v>
      </c>
      <c r="K61" s="10"/>
    </row>
    <row r="62" spans="2:11">
      <c r="B62" s="20" t="s">
        <v>119</v>
      </c>
      <c r="C62" s="5">
        <v>849</v>
      </c>
      <c r="D62" s="17" t="s">
        <v>143</v>
      </c>
      <c r="E62" s="17" t="s">
        <v>147</v>
      </c>
      <c r="F62" s="7" t="s">
        <v>209</v>
      </c>
      <c r="G62" s="7" t="s">
        <v>210</v>
      </c>
      <c r="H62" s="7">
        <f>300-200</f>
        <v>100</v>
      </c>
      <c r="I62" s="7">
        <v>500</v>
      </c>
      <c r="J62" s="7">
        <v>500</v>
      </c>
      <c r="K62" s="10"/>
    </row>
    <row r="63" spans="2:11">
      <c r="B63" s="21" t="s">
        <v>120</v>
      </c>
      <c r="C63" s="5">
        <v>849</v>
      </c>
      <c r="D63" s="17" t="s">
        <v>143</v>
      </c>
      <c r="E63" s="17" t="s">
        <v>148</v>
      </c>
      <c r="F63" s="7" t="s">
        <v>168</v>
      </c>
      <c r="G63" s="7" t="s">
        <v>167</v>
      </c>
      <c r="H63" s="15">
        <f>H64</f>
        <v>14010.273000000001</v>
      </c>
      <c r="I63" s="15">
        <f>I64</f>
        <v>1249.9000000000001</v>
      </c>
      <c r="J63" s="15">
        <f>J64</f>
        <v>1249.9000000000001</v>
      </c>
      <c r="K63" s="10"/>
    </row>
    <row r="64" spans="2:11" ht="31.5">
      <c r="B64" s="20" t="s">
        <v>211</v>
      </c>
      <c r="C64" s="5">
        <v>849</v>
      </c>
      <c r="D64" s="17" t="s">
        <v>143</v>
      </c>
      <c r="E64" s="17" t="s">
        <v>148</v>
      </c>
      <c r="F64" s="7" t="s">
        <v>212</v>
      </c>
      <c r="G64" s="7" t="s">
        <v>167</v>
      </c>
      <c r="H64" s="7">
        <f>SUM(H65,H67,H71,H73,H76,H69)</f>
        <v>14010.273000000001</v>
      </c>
      <c r="I64" s="7">
        <f t="shared" ref="I64:J64" si="10">SUM(I65,I67,I71,I73,I76)</f>
        <v>1249.9000000000001</v>
      </c>
      <c r="J64" s="7">
        <f t="shared" si="10"/>
        <v>1249.9000000000001</v>
      </c>
      <c r="K64" s="10"/>
    </row>
    <row r="65" spans="2:11">
      <c r="B65" s="16" t="s">
        <v>213</v>
      </c>
      <c r="C65" s="5">
        <v>849</v>
      </c>
      <c r="D65" s="17" t="s">
        <v>143</v>
      </c>
      <c r="E65" s="17" t="s">
        <v>148</v>
      </c>
      <c r="F65" s="7" t="s">
        <v>214</v>
      </c>
      <c r="G65" s="7" t="s">
        <v>167</v>
      </c>
      <c r="H65" s="7">
        <f>H66</f>
        <v>2977.8</v>
      </c>
      <c r="I65" s="7">
        <f>I66</f>
        <v>350</v>
      </c>
      <c r="J65" s="7">
        <f>J66</f>
        <v>350</v>
      </c>
      <c r="K65" s="10"/>
    </row>
    <row r="66" spans="2:11" ht="31.5" customHeight="1">
      <c r="B66" s="20" t="s">
        <v>175</v>
      </c>
      <c r="C66" s="5">
        <v>849</v>
      </c>
      <c r="D66" s="17" t="s">
        <v>143</v>
      </c>
      <c r="E66" s="17" t="s">
        <v>148</v>
      </c>
      <c r="F66" s="7" t="s">
        <v>214</v>
      </c>
      <c r="G66" s="7" t="s">
        <v>176</v>
      </c>
      <c r="H66" s="7">
        <f>350+1600+500-2.1+700-2.6-167.5</f>
        <v>2977.8</v>
      </c>
      <c r="I66" s="7">
        <v>350</v>
      </c>
      <c r="J66" s="7">
        <v>350</v>
      </c>
      <c r="K66" s="10"/>
    </row>
    <row r="67" spans="2:11">
      <c r="B67" s="20" t="s">
        <v>215</v>
      </c>
      <c r="C67" s="5">
        <v>849</v>
      </c>
      <c r="D67" s="17" t="s">
        <v>143</v>
      </c>
      <c r="E67" s="17" t="s">
        <v>148</v>
      </c>
      <c r="F67" s="7" t="s">
        <v>216</v>
      </c>
      <c r="G67" s="7" t="s">
        <v>167</v>
      </c>
      <c r="H67" s="7">
        <f>H68</f>
        <v>673</v>
      </c>
      <c r="I67" s="7">
        <f>I68</f>
        <v>350</v>
      </c>
      <c r="J67" s="7">
        <f>J68</f>
        <v>350</v>
      </c>
      <c r="K67" s="10"/>
    </row>
    <row r="68" spans="2:11" ht="31.5" customHeight="1">
      <c r="B68" s="20" t="s">
        <v>175</v>
      </c>
      <c r="C68" s="5">
        <v>849</v>
      </c>
      <c r="D68" s="17" t="s">
        <v>143</v>
      </c>
      <c r="E68" s="17" t="s">
        <v>148</v>
      </c>
      <c r="F68" s="7" t="s">
        <v>216</v>
      </c>
      <c r="G68" s="7" t="s">
        <v>176</v>
      </c>
      <c r="H68" s="7">
        <f>350+200-50+50+123</f>
        <v>673</v>
      </c>
      <c r="I68" s="7">
        <v>350</v>
      </c>
      <c r="J68" s="7">
        <v>350</v>
      </c>
      <c r="K68" s="10"/>
    </row>
    <row r="69" spans="2:11" s="61" customFormat="1" ht="31.5" customHeight="1">
      <c r="B69" s="34" t="s">
        <v>439</v>
      </c>
      <c r="C69" s="55">
        <v>849</v>
      </c>
      <c r="D69" s="56" t="s">
        <v>143</v>
      </c>
      <c r="E69" s="56" t="s">
        <v>148</v>
      </c>
      <c r="F69" s="57" t="s">
        <v>440</v>
      </c>
      <c r="G69" s="57"/>
      <c r="H69" s="57">
        <f>H70</f>
        <v>9400</v>
      </c>
      <c r="I69" s="57">
        <f t="shared" ref="I69:J69" si="11">I70</f>
        <v>0</v>
      </c>
      <c r="J69" s="57">
        <f t="shared" si="11"/>
        <v>0</v>
      </c>
      <c r="K69" s="60"/>
    </row>
    <row r="70" spans="2:11" s="61" customFormat="1" ht="31.5" customHeight="1">
      <c r="B70" s="34" t="s">
        <v>175</v>
      </c>
      <c r="C70" s="55">
        <v>849</v>
      </c>
      <c r="D70" s="56" t="s">
        <v>143</v>
      </c>
      <c r="E70" s="56" t="s">
        <v>148</v>
      </c>
      <c r="F70" s="57" t="s">
        <v>440</v>
      </c>
      <c r="G70" s="56" t="s">
        <v>176</v>
      </c>
      <c r="H70" s="57">
        <f>6750+750+200+1553.7+146.3</f>
        <v>9400</v>
      </c>
      <c r="I70" s="57">
        <v>0</v>
      </c>
      <c r="J70" s="57">
        <v>0</v>
      </c>
      <c r="K70" s="60"/>
    </row>
    <row r="71" spans="2:11" ht="31.5">
      <c r="B71" s="20" t="s">
        <v>217</v>
      </c>
      <c r="C71" s="5">
        <v>849</v>
      </c>
      <c r="D71" s="17" t="s">
        <v>143</v>
      </c>
      <c r="E71" s="17" t="s">
        <v>148</v>
      </c>
      <c r="F71" s="7" t="s">
        <v>218</v>
      </c>
      <c r="G71" s="7" t="s">
        <v>167</v>
      </c>
      <c r="H71" s="7">
        <f>H72</f>
        <v>57.4</v>
      </c>
      <c r="I71" s="7">
        <f>I72</f>
        <v>49.9</v>
      </c>
      <c r="J71" s="7">
        <f>J72</f>
        <v>49.9</v>
      </c>
      <c r="K71" s="10"/>
    </row>
    <row r="72" spans="2:11">
      <c r="B72" s="20" t="s">
        <v>201</v>
      </c>
      <c r="C72" s="5">
        <v>849</v>
      </c>
      <c r="D72" s="17" t="s">
        <v>143</v>
      </c>
      <c r="E72" s="17" t="s">
        <v>148</v>
      </c>
      <c r="F72" s="7" t="s">
        <v>218</v>
      </c>
      <c r="G72" s="7" t="s">
        <v>202</v>
      </c>
      <c r="H72" s="7">
        <f>49.9+7.5</f>
        <v>57.4</v>
      </c>
      <c r="I72" s="7">
        <v>49.9</v>
      </c>
      <c r="J72" s="7">
        <v>49.9</v>
      </c>
      <c r="K72" s="10"/>
    </row>
    <row r="73" spans="2:11" ht="31.5" hidden="1" customHeight="1">
      <c r="B73" s="20" t="s">
        <v>219</v>
      </c>
      <c r="C73" s="5">
        <v>849</v>
      </c>
      <c r="D73" s="17" t="s">
        <v>143</v>
      </c>
      <c r="E73" s="17" t="s">
        <v>148</v>
      </c>
      <c r="F73" s="7" t="s">
        <v>220</v>
      </c>
      <c r="G73" s="7" t="s">
        <v>167</v>
      </c>
      <c r="H73" s="7">
        <f>SUM(H74:H75)</f>
        <v>0</v>
      </c>
      <c r="I73" s="7"/>
      <c r="J73" s="7">
        <f>SUM(J74:J75)</f>
        <v>0</v>
      </c>
      <c r="K73" s="10"/>
    </row>
    <row r="74" spans="2:11" ht="15.75" hidden="1" customHeight="1">
      <c r="B74" s="20" t="s">
        <v>221</v>
      </c>
      <c r="C74" s="5">
        <v>849</v>
      </c>
      <c r="D74" s="17" t="s">
        <v>143</v>
      </c>
      <c r="E74" s="17" t="s">
        <v>148</v>
      </c>
      <c r="F74" s="7" t="s">
        <v>220</v>
      </c>
      <c r="G74" s="7" t="s">
        <v>222</v>
      </c>
      <c r="H74" s="7"/>
      <c r="I74" s="7"/>
      <c r="J74" s="7"/>
      <c r="K74" s="10"/>
    </row>
    <row r="75" spans="2:11" ht="15.75" hidden="1" customHeight="1">
      <c r="B75" s="20" t="s">
        <v>201</v>
      </c>
      <c r="C75" s="5">
        <v>849</v>
      </c>
      <c r="D75" s="17" t="s">
        <v>143</v>
      </c>
      <c r="E75" s="17" t="s">
        <v>148</v>
      </c>
      <c r="F75" s="7" t="s">
        <v>220</v>
      </c>
      <c r="G75" s="7" t="s">
        <v>202</v>
      </c>
      <c r="H75" s="7"/>
      <c r="I75" s="7"/>
      <c r="J75" s="7"/>
      <c r="K75" s="10"/>
    </row>
    <row r="76" spans="2:11" ht="15.75" customHeight="1">
      <c r="B76" s="20" t="s">
        <v>219</v>
      </c>
      <c r="C76" s="5">
        <v>849</v>
      </c>
      <c r="D76" s="17" t="s">
        <v>143</v>
      </c>
      <c r="E76" s="17" t="s">
        <v>148</v>
      </c>
      <c r="F76" s="7" t="s">
        <v>220</v>
      </c>
      <c r="G76" s="7" t="s">
        <v>167</v>
      </c>
      <c r="H76" s="7">
        <f>H77+H78</f>
        <v>902.07299999999998</v>
      </c>
      <c r="I76" s="7">
        <f t="shared" ref="I76:J76" si="12">I77+I78</f>
        <v>500</v>
      </c>
      <c r="J76" s="7">
        <f t="shared" si="12"/>
        <v>500</v>
      </c>
      <c r="K76" s="10"/>
    </row>
    <row r="77" spans="2:11" ht="15.75" customHeight="1">
      <c r="B77" s="20" t="s">
        <v>221</v>
      </c>
      <c r="C77" s="5">
        <v>849</v>
      </c>
      <c r="D77" s="17" t="s">
        <v>143</v>
      </c>
      <c r="E77" s="17" t="s">
        <v>148</v>
      </c>
      <c r="F77" s="7" t="s">
        <v>220</v>
      </c>
      <c r="G77" s="7" t="s">
        <v>222</v>
      </c>
      <c r="H77" s="7">
        <f>50+33.568+18+4+2.105+2.4</f>
        <v>110.07300000000001</v>
      </c>
      <c r="I77" s="7">
        <v>50</v>
      </c>
      <c r="J77" s="7">
        <v>50</v>
      </c>
      <c r="K77" s="10"/>
    </row>
    <row r="78" spans="2:11" ht="15.75" customHeight="1">
      <c r="B78" s="20" t="s">
        <v>201</v>
      </c>
      <c r="C78" s="5">
        <v>849</v>
      </c>
      <c r="D78" s="17" t="s">
        <v>143</v>
      </c>
      <c r="E78" s="17" t="s">
        <v>148</v>
      </c>
      <c r="F78" s="7" t="s">
        <v>220</v>
      </c>
      <c r="G78" s="7" t="s">
        <v>202</v>
      </c>
      <c r="H78" s="7">
        <f>250-33.6-18+103.4+50+200+0.2+80+160</f>
        <v>792</v>
      </c>
      <c r="I78" s="7">
        <v>450</v>
      </c>
      <c r="J78" s="7">
        <v>450</v>
      </c>
      <c r="K78" s="10"/>
    </row>
    <row r="79" spans="2:11" ht="31.5">
      <c r="B79" s="21" t="s">
        <v>121</v>
      </c>
      <c r="C79" s="5">
        <v>849</v>
      </c>
      <c r="D79" s="17" t="s">
        <v>144</v>
      </c>
      <c r="E79" s="17" t="s">
        <v>167</v>
      </c>
      <c r="F79" s="7" t="s">
        <v>168</v>
      </c>
      <c r="G79" s="7" t="s">
        <v>167</v>
      </c>
      <c r="H79" s="15">
        <f>H80+H86</f>
        <v>1030</v>
      </c>
      <c r="I79" s="15">
        <f t="shared" ref="I79:J79" si="13">I80+I86</f>
        <v>1250</v>
      </c>
      <c r="J79" s="15">
        <f t="shared" si="13"/>
        <v>1250</v>
      </c>
      <c r="K79" s="10"/>
    </row>
    <row r="80" spans="2:11" ht="47.25">
      <c r="B80" s="20" t="s">
        <v>122</v>
      </c>
      <c r="C80" s="5">
        <v>849</v>
      </c>
      <c r="D80" s="17" t="s">
        <v>144</v>
      </c>
      <c r="E80" s="17" t="s">
        <v>149</v>
      </c>
      <c r="F80" s="7" t="s">
        <v>168</v>
      </c>
      <c r="G80" s="7" t="s">
        <v>167</v>
      </c>
      <c r="H80" s="7">
        <f t="shared" ref="H80:J80" si="14">H81</f>
        <v>800</v>
      </c>
      <c r="I80" s="7">
        <f t="shared" si="14"/>
        <v>1250</v>
      </c>
      <c r="J80" s="7">
        <f t="shared" si="14"/>
        <v>1250</v>
      </c>
      <c r="K80" s="10"/>
    </row>
    <row r="81" spans="2:11" ht="31.5">
      <c r="B81" s="20" t="s">
        <v>223</v>
      </c>
      <c r="C81" s="5">
        <v>849</v>
      </c>
      <c r="D81" s="17" t="s">
        <v>144</v>
      </c>
      <c r="E81" s="17" t="s">
        <v>149</v>
      </c>
      <c r="F81" s="7" t="s">
        <v>224</v>
      </c>
      <c r="G81" s="7" t="s">
        <v>167</v>
      </c>
      <c r="H81" s="7">
        <f>SUM(H82,H84)</f>
        <v>800</v>
      </c>
      <c r="I81" s="7">
        <f>SUM(I82,I84)</f>
        <v>1250</v>
      </c>
      <c r="J81" s="7">
        <f>SUM(J82,J84)</f>
        <v>1250</v>
      </c>
      <c r="K81" s="10"/>
    </row>
    <row r="82" spans="2:11" ht="31.5">
      <c r="B82" s="20" t="s">
        <v>225</v>
      </c>
      <c r="C82" s="5">
        <v>849</v>
      </c>
      <c r="D82" s="17" t="s">
        <v>144</v>
      </c>
      <c r="E82" s="17" t="s">
        <v>149</v>
      </c>
      <c r="F82" s="7" t="s">
        <v>226</v>
      </c>
      <c r="G82" s="7" t="s">
        <v>167</v>
      </c>
      <c r="H82" s="7">
        <f>H83</f>
        <v>500</v>
      </c>
      <c r="I82" s="7">
        <f>I83</f>
        <v>1000</v>
      </c>
      <c r="J82" s="7">
        <f>J83</f>
        <v>1000</v>
      </c>
      <c r="K82" s="10"/>
    </row>
    <row r="83" spans="2:11" ht="31.5" customHeight="1">
      <c r="B83" s="20" t="s">
        <v>175</v>
      </c>
      <c r="C83" s="5">
        <v>849</v>
      </c>
      <c r="D83" s="17" t="s">
        <v>144</v>
      </c>
      <c r="E83" s="17" t="s">
        <v>149</v>
      </c>
      <c r="F83" s="7" t="s">
        <v>226</v>
      </c>
      <c r="G83" s="7" t="s">
        <v>176</v>
      </c>
      <c r="H83" s="7">
        <f>1000-500</f>
        <v>500</v>
      </c>
      <c r="I83" s="7">
        <v>1000</v>
      </c>
      <c r="J83" s="7">
        <v>1000</v>
      </c>
      <c r="K83" s="10"/>
    </row>
    <row r="84" spans="2:11" ht="47.25">
      <c r="B84" s="20" t="s">
        <v>227</v>
      </c>
      <c r="C84" s="5">
        <v>849</v>
      </c>
      <c r="D84" s="17" t="s">
        <v>144</v>
      </c>
      <c r="E84" s="17" t="s">
        <v>149</v>
      </c>
      <c r="F84" s="7" t="s">
        <v>228</v>
      </c>
      <c r="G84" s="7" t="s">
        <v>167</v>
      </c>
      <c r="H84" s="7">
        <f>H85</f>
        <v>300</v>
      </c>
      <c r="I84" s="7">
        <f>I85</f>
        <v>250</v>
      </c>
      <c r="J84" s="7">
        <f>J85</f>
        <v>250</v>
      </c>
      <c r="K84" s="10"/>
    </row>
    <row r="85" spans="2:11" ht="31.5" customHeight="1">
      <c r="B85" s="20" t="s">
        <v>175</v>
      </c>
      <c r="C85" s="5">
        <v>849</v>
      </c>
      <c r="D85" s="17" t="s">
        <v>144</v>
      </c>
      <c r="E85" s="17" t="s">
        <v>149</v>
      </c>
      <c r="F85" s="7" t="s">
        <v>228</v>
      </c>
      <c r="G85" s="7" t="s">
        <v>176</v>
      </c>
      <c r="H85" s="7">
        <f>250+50</f>
        <v>300</v>
      </c>
      <c r="I85" s="7">
        <v>250</v>
      </c>
      <c r="J85" s="7">
        <v>250</v>
      </c>
      <c r="K85" s="10"/>
    </row>
    <row r="86" spans="2:11" ht="31.5" customHeight="1">
      <c r="B86" s="20" t="s">
        <v>389</v>
      </c>
      <c r="C86" s="5">
        <v>849</v>
      </c>
      <c r="D86" s="17" t="s">
        <v>144</v>
      </c>
      <c r="E86" s="17" t="s">
        <v>388</v>
      </c>
      <c r="F86" s="7"/>
      <c r="G86" s="7"/>
      <c r="H86" s="7">
        <f>H87</f>
        <v>230</v>
      </c>
      <c r="I86" s="7">
        <f t="shared" ref="I86:J88" si="15">I87</f>
        <v>0</v>
      </c>
      <c r="J86" s="7">
        <f t="shared" si="15"/>
        <v>0</v>
      </c>
      <c r="K86" s="10"/>
    </row>
    <row r="87" spans="2:11" ht="31.5" customHeight="1">
      <c r="B87" s="20" t="s">
        <v>223</v>
      </c>
      <c r="C87" s="5">
        <v>849</v>
      </c>
      <c r="D87" s="17" t="s">
        <v>144</v>
      </c>
      <c r="E87" s="17" t="s">
        <v>388</v>
      </c>
      <c r="F87" s="7" t="s">
        <v>224</v>
      </c>
      <c r="G87" s="7"/>
      <c r="H87" s="7">
        <f>H88+H90</f>
        <v>230</v>
      </c>
      <c r="I87" s="7">
        <f t="shared" si="15"/>
        <v>0</v>
      </c>
      <c r="J87" s="7">
        <f t="shared" si="15"/>
        <v>0</v>
      </c>
      <c r="K87" s="10"/>
    </row>
    <row r="88" spans="2:11" ht="31.5" customHeight="1">
      <c r="B88" s="20" t="s">
        <v>390</v>
      </c>
      <c r="C88" s="5">
        <v>849</v>
      </c>
      <c r="D88" s="17" t="s">
        <v>144</v>
      </c>
      <c r="E88" s="17" t="s">
        <v>388</v>
      </c>
      <c r="F88" s="7" t="s">
        <v>391</v>
      </c>
      <c r="G88" s="7"/>
      <c r="H88" s="7">
        <f>H89</f>
        <v>218.5</v>
      </c>
      <c r="I88" s="7">
        <f t="shared" si="15"/>
        <v>0</v>
      </c>
      <c r="J88" s="7">
        <f t="shared" si="15"/>
        <v>0</v>
      </c>
      <c r="K88" s="10"/>
    </row>
    <row r="89" spans="2:11" ht="31.5" customHeight="1">
      <c r="B89" s="20" t="s">
        <v>175</v>
      </c>
      <c r="C89" s="5">
        <v>849</v>
      </c>
      <c r="D89" s="17" t="s">
        <v>144</v>
      </c>
      <c r="E89" s="17" t="s">
        <v>388</v>
      </c>
      <c r="F89" s="7" t="s">
        <v>391</v>
      </c>
      <c r="G89" s="17">
        <v>240</v>
      </c>
      <c r="H89" s="7">
        <v>218.5</v>
      </c>
      <c r="I89" s="7">
        <v>0</v>
      </c>
      <c r="J89" s="7">
        <v>0</v>
      </c>
      <c r="K89" s="10"/>
    </row>
    <row r="90" spans="2:11" ht="31.5" customHeight="1">
      <c r="B90" s="20" t="s">
        <v>420</v>
      </c>
      <c r="C90" s="5">
        <v>849</v>
      </c>
      <c r="D90" s="17" t="s">
        <v>144</v>
      </c>
      <c r="E90" s="17" t="s">
        <v>388</v>
      </c>
      <c r="F90" s="7" t="s">
        <v>421</v>
      </c>
      <c r="G90" s="17"/>
      <c r="H90" s="7">
        <f>H91</f>
        <v>11.5</v>
      </c>
      <c r="I90" s="7">
        <f t="shared" ref="I90:J90" si="16">I91</f>
        <v>0</v>
      </c>
      <c r="J90" s="7">
        <f t="shared" si="16"/>
        <v>0</v>
      </c>
      <c r="K90" s="10"/>
    </row>
    <row r="91" spans="2:11" ht="31.5" customHeight="1">
      <c r="B91" s="20" t="s">
        <v>175</v>
      </c>
      <c r="C91" s="5">
        <v>849</v>
      </c>
      <c r="D91" s="17" t="s">
        <v>144</v>
      </c>
      <c r="E91" s="17" t="s">
        <v>388</v>
      </c>
      <c r="F91" s="7" t="s">
        <v>421</v>
      </c>
      <c r="G91" s="17" t="s">
        <v>176</v>
      </c>
      <c r="H91" s="7">
        <v>11.5</v>
      </c>
      <c r="I91" s="7">
        <v>0</v>
      </c>
      <c r="J91" s="7">
        <v>0</v>
      </c>
      <c r="K91" s="10"/>
    </row>
    <row r="92" spans="2:11">
      <c r="B92" s="21" t="s">
        <v>123</v>
      </c>
      <c r="C92" s="5">
        <v>849</v>
      </c>
      <c r="D92" s="17" t="s">
        <v>145</v>
      </c>
      <c r="E92" s="17" t="s">
        <v>167</v>
      </c>
      <c r="F92" s="7" t="s">
        <v>168</v>
      </c>
      <c r="G92" s="7" t="s">
        <v>167</v>
      </c>
      <c r="H92" s="15">
        <f>SUM(H93,H99,H104,H114)</f>
        <v>31902.5</v>
      </c>
      <c r="I92" s="15">
        <f>SUM(I93,I99,I104,I114)</f>
        <v>8600</v>
      </c>
      <c r="J92" s="15">
        <f>SUM(J93,J99,J104,J114)</f>
        <v>8600</v>
      </c>
      <c r="K92" s="10"/>
    </row>
    <row r="93" spans="2:11">
      <c r="B93" s="20" t="s">
        <v>126</v>
      </c>
      <c r="C93" s="5">
        <v>849</v>
      </c>
      <c r="D93" s="17" t="s">
        <v>145</v>
      </c>
      <c r="E93" s="17" t="s">
        <v>152</v>
      </c>
      <c r="F93" s="7" t="s">
        <v>168</v>
      </c>
      <c r="G93" s="7" t="s">
        <v>167</v>
      </c>
      <c r="H93" s="7">
        <f>H94</f>
        <v>181.89999999999998</v>
      </c>
      <c r="I93" s="7">
        <f t="shared" ref="I93:J93" si="17">I94</f>
        <v>0</v>
      </c>
      <c r="J93" s="7">
        <f t="shared" si="17"/>
        <v>0</v>
      </c>
      <c r="K93" s="10"/>
    </row>
    <row r="94" spans="2:11">
      <c r="B94" s="20" t="s">
        <v>229</v>
      </c>
      <c r="C94" s="5">
        <v>849</v>
      </c>
      <c r="D94" s="17" t="s">
        <v>145</v>
      </c>
      <c r="E94" s="17" t="s">
        <v>152</v>
      </c>
      <c r="F94" s="7" t="s">
        <v>230</v>
      </c>
      <c r="G94" s="7" t="s">
        <v>167</v>
      </c>
      <c r="H94" s="7">
        <f>SUM(H95,H97)</f>
        <v>181.89999999999998</v>
      </c>
      <c r="I94" s="7">
        <f t="shared" ref="I94:J94" si="18">SUM(I95,I97)</f>
        <v>0</v>
      </c>
      <c r="J94" s="7">
        <f t="shared" si="18"/>
        <v>0</v>
      </c>
      <c r="K94" s="10"/>
    </row>
    <row r="95" spans="2:11" ht="47.25">
      <c r="B95" s="20" t="s">
        <v>231</v>
      </c>
      <c r="C95" s="5">
        <v>849</v>
      </c>
      <c r="D95" s="17" t="s">
        <v>145</v>
      </c>
      <c r="E95" s="17" t="s">
        <v>152</v>
      </c>
      <c r="F95" s="7" t="s">
        <v>232</v>
      </c>
      <c r="G95" s="7" t="s">
        <v>167</v>
      </c>
      <c r="H95" s="7">
        <f>H96</f>
        <v>180.09999999999997</v>
      </c>
      <c r="I95" s="7">
        <f t="shared" ref="I95:J95" si="19">I96</f>
        <v>0</v>
      </c>
      <c r="J95" s="7">
        <f t="shared" si="19"/>
        <v>0</v>
      </c>
      <c r="K95" s="10"/>
    </row>
    <row r="96" spans="2:11" ht="47.25">
      <c r="B96" s="20" t="s">
        <v>175</v>
      </c>
      <c r="C96" s="5">
        <v>849</v>
      </c>
      <c r="D96" s="17" t="s">
        <v>145</v>
      </c>
      <c r="E96" s="17" t="s">
        <v>152</v>
      </c>
      <c r="F96" s="7" t="s">
        <v>232</v>
      </c>
      <c r="G96" s="7" t="s">
        <v>176</v>
      </c>
      <c r="H96" s="7">
        <f>486.7-306.6</f>
        <v>180.09999999999997</v>
      </c>
      <c r="I96" s="7">
        <v>0</v>
      </c>
      <c r="J96" s="7">
        <v>0</v>
      </c>
      <c r="K96" s="10"/>
    </row>
    <row r="97" spans="2:11" ht="47.25">
      <c r="B97" s="20" t="s">
        <v>233</v>
      </c>
      <c r="C97" s="5">
        <v>849</v>
      </c>
      <c r="D97" s="17" t="s">
        <v>145</v>
      </c>
      <c r="E97" s="17" t="s">
        <v>152</v>
      </c>
      <c r="F97" s="7" t="s">
        <v>234</v>
      </c>
      <c r="G97" s="7" t="s">
        <v>167</v>
      </c>
      <c r="H97" s="7">
        <f>H98</f>
        <v>1.8000000000000003</v>
      </c>
      <c r="I97" s="7">
        <f>I98</f>
        <v>0</v>
      </c>
      <c r="J97" s="7">
        <f>J98</f>
        <v>0</v>
      </c>
      <c r="K97" s="10"/>
    </row>
    <row r="98" spans="2:11" ht="47.25">
      <c r="B98" s="20" t="s">
        <v>175</v>
      </c>
      <c r="C98" s="5">
        <v>849</v>
      </c>
      <c r="D98" s="17" t="s">
        <v>145</v>
      </c>
      <c r="E98" s="17" t="s">
        <v>152</v>
      </c>
      <c r="F98" s="7" t="s">
        <v>234</v>
      </c>
      <c r="G98" s="7" t="s">
        <v>176</v>
      </c>
      <c r="H98" s="7">
        <f>4.9-3.1</f>
        <v>1.8000000000000003</v>
      </c>
      <c r="I98" s="7">
        <v>0</v>
      </c>
      <c r="J98" s="7">
        <v>0</v>
      </c>
      <c r="K98" s="10"/>
    </row>
    <row r="99" spans="2:11">
      <c r="B99" s="21" t="s">
        <v>124</v>
      </c>
      <c r="C99" s="5">
        <v>849</v>
      </c>
      <c r="D99" s="17" t="s">
        <v>145</v>
      </c>
      <c r="E99" s="17" t="s">
        <v>150</v>
      </c>
      <c r="F99" s="7" t="s">
        <v>168</v>
      </c>
      <c r="G99" s="7" t="s">
        <v>167</v>
      </c>
      <c r="H99" s="15">
        <f t="shared" ref="H99:J102" si="20">H100</f>
        <v>1300</v>
      </c>
      <c r="I99" s="15">
        <f t="shared" si="20"/>
        <v>1500</v>
      </c>
      <c r="J99" s="15">
        <f t="shared" si="20"/>
        <v>1500</v>
      </c>
      <c r="K99" s="10"/>
    </row>
    <row r="100" spans="2:11" ht="63" customHeight="1">
      <c r="B100" s="20" t="s">
        <v>347</v>
      </c>
      <c r="C100" s="5">
        <v>849</v>
      </c>
      <c r="D100" s="17" t="s">
        <v>145</v>
      </c>
      <c r="E100" s="17" t="s">
        <v>150</v>
      </c>
      <c r="F100" s="7" t="s">
        <v>236</v>
      </c>
      <c r="G100" s="7" t="s">
        <v>167</v>
      </c>
      <c r="H100" s="7">
        <f t="shared" si="20"/>
        <v>1300</v>
      </c>
      <c r="I100" s="7">
        <f t="shared" si="20"/>
        <v>1500</v>
      </c>
      <c r="J100" s="7">
        <f t="shared" si="20"/>
        <v>1500</v>
      </c>
      <c r="K100" s="10"/>
    </row>
    <row r="101" spans="2:11" ht="31.5">
      <c r="B101" s="20" t="s">
        <v>237</v>
      </c>
      <c r="C101" s="5">
        <v>849</v>
      </c>
      <c r="D101" s="17" t="s">
        <v>145</v>
      </c>
      <c r="E101" s="17" t="s">
        <v>150</v>
      </c>
      <c r="F101" s="7" t="s">
        <v>238</v>
      </c>
      <c r="G101" s="7" t="s">
        <v>167</v>
      </c>
      <c r="H101" s="7">
        <f t="shared" si="20"/>
        <v>1300</v>
      </c>
      <c r="I101" s="7">
        <f t="shared" si="20"/>
        <v>1500</v>
      </c>
      <c r="J101" s="7">
        <f t="shared" si="20"/>
        <v>1500</v>
      </c>
      <c r="K101" s="10"/>
    </row>
    <row r="102" spans="2:11" ht="31.5" customHeight="1">
      <c r="B102" s="20" t="s">
        <v>239</v>
      </c>
      <c r="C102" s="5">
        <v>849</v>
      </c>
      <c r="D102" s="17" t="s">
        <v>145</v>
      </c>
      <c r="E102" s="17" t="s">
        <v>150</v>
      </c>
      <c r="F102" s="7" t="s">
        <v>240</v>
      </c>
      <c r="G102" s="7" t="s">
        <v>167</v>
      </c>
      <c r="H102" s="7">
        <f t="shared" si="20"/>
        <v>1300</v>
      </c>
      <c r="I102" s="7">
        <f t="shared" si="20"/>
        <v>1500</v>
      </c>
      <c r="J102" s="7">
        <f t="shared" si="20"/>
        <v>1500</v>
      </c>
      <c r="K102" s="10"/>
    </row>
    <row r="103" spans="2:11">
      <c r="B103" s="20" t="s">
        <v>325</v>
      </c>
      <c r="C103" s="5">
        <v>849</v>
      </c>
      <c r="D103" s="17" t="s">
        <v>145</v>
      </c>
      <c r="E103" s="17" t="s">
        <v>150</v>
      </c>
      <c r="F103" s="7" t="s">
        <v>240</v>
      </c>
      <c r="G103" s="17" t="s">
        <v>324</v>
      </c>
      <c r="H103" s="7">
        <v>1300</v>
      </c>
      <c r="I103" s="7">
        <v>1500</v>
      </c>
      <c r="J103" s="7">
        <v>1500</v>
      </c>
      <c r="K103" s="10"/>
    </row>
    <row r="104" spans="2:11">
      <c r="B104" s="21" t="s">
        <v>125</v>
      </c>
      <c r="C104" s="5">
        <v>849</v>
      </c>
      <c r="D104" s="17" t="s">
        <v>145</v>
      </c>
      <c r="E104" s="17" t="s">
        <v>151</v>
      </c>
      <c r="F104" s="7" t="s">
        <v>168</v>
      </c>
      <c r="G104" s="7" t="s">
        <v>167</v>
      </c>
      <c r="H104" s="15">
        <f t="shared" ref="H104:J112" si="21">H105</f>
        <v>30320.6</v>
      </c>
      <c r="I104" s="15">
        <f t="shared" si="21"/>
        <v>7000</v>
      </c>
      <c r="J104" s="15">
        <f t="shared" si="21"/>
        <v>7000</v>
      </c>
      <c r="K104" s="10"/>
    </row>
    <row r="105" spans="2:11" ht="63" customHeight="1">
      <c r="B105" s="20" t="str">
        <f>B100</f>
        <v>Муниципальная программа "Развитие транспортной системы на территории муниципального образования "Город Вытегра" Вытегорского муниципального района Вологодской области на 2022-2026г.г."</v>
      </c>
      <c r="C105" s="5">
        <v>849</v>
      </c>
      <c r="D105" s="17" t="s">
        <v>145</v>
      </c>
      <c r="E105" s="17" t="s">
        <v>151</v>
      </c>
      <c r="F105" s="7" t="s">
        <v>236</v>
      </c>
      <c r="G105" s="7" t="s">
        <v>167</v>
      </c>
      <c r="H105" s="7">
        <f>H111+H106</f>
        <v>30320.6</v>
      </c>
      <c r="I105" s="7">
        <f t="shared" ref="I105:J105" si="22">I111+I106</f>
        <v>7000</v>
      </c>
      <c r="J105" s="7">
        <f t="shared" si="22"/>
        <v>7000</v>
      </c>
      <c r="K105" s="10"/>
    </row>
    <row r="106" spans="2:11" ht="38.25" customHeight="1">
      <c r="B106" s="34" t="s">
        <v>447</v>
      </c>
      <c r="C106" s="55">
        <v>849</v>
      </c>
      <c r="D106" s="56" t="s">
        <v>145</v>
      </c>
      <c r="E106" s="56" t="s">
        <v>151</v>
      </c>
      <c r="F106" s="57" t="s">
        <v>448</v>
      </c>
      <c r="G106" s="7"/>
      <c r="H106" s="7">
        <f>H107+H109</f>
        <v>24020.6</v>
      </c>
      <c r="I106" s="7">
        <f t="shared" ref="I106:J106" si="23">I107+I109</f>
        <v>1567.5</v>
      </c>
      <c r="J106" s="7">
        <f t="shared" si="23"/>
        <v>0</v>
      </c>
      <c r="K106" s="10"/>
    </row>
    <row r="107" spans="2:11" ht="36" customHeight="1">
      <c r="B107" s="34" t="s">
        <v>449</v>
      </c>
      <c r="C107" s="55">
        <v>849</v>
      </c>
      <c r="D107" s="56" t="s">
        <v>145</v>
      </c>
      <c r="E107" s="56" t="s">
        <v>151</v>
      </c>
      <c r="F107" s="57" t="s">
        <v>451</v>
      </c>
      <c r="G107" s="7"/>
      <c r="H107" s="7">
        <f>H108</f>
        <v>23300</v>
      </c>
      <c r="I107" s="7">
        <f t="shared" ref="I107:J107" si="24">I108</f>
        <v>0</v>
      </c>
      <c r="J107" s="7">
        <f t="shared" si="24"/>
        <v>0</v>
      </c>
      <c r="K107" s="10"/>
    </row>
    <row r="108" spans="2:11" ht="35.25" customHeight="1">
      <c r="B108" s="34" t="s">
        <v>175</v>
      </c>
      <c r="C108" s="55">
        <v>849</v>
      </c>
      <c r="D108" s="56" t="s">
        <v>145</v>
      </c>
      <c r="E108" s="56" t="s">
        <v>151</v>
      </c>
      <c r="F108" s="57" t="s">
        <v>451</v>
      </c>
      <c r="G108" s="17">
        <v>240</v>
      </c>
      <c r="H108" s="7">
        <v>23300</v>
      </c>
      <c r="I108" s="7">
        <v>0</v>
      </c>
      <c r="J108" s="7">
        <v>0</v>
      </c>
      <c r="K108" s="10"/>
    </row>
    <row r="109" spans="2:11" ht="35.25" customHeight="1">
      <c r="B109" s="70" t="s">
        <v>450</v>
      </c>
      <c r="C109" s="55">
        <v>849</v>
      </c>
      <c r="D109" s="56" t="s">
        <v>145</v>
      </c>
      <c r="E109" s="56" t="s">
        <v>151</v>
      </c>
      <c r="F109" s="57" t="s">
        <v>452</v>
      </c>
      <c r="G109" s="17"/>
      <c r="H109" s="7">
        <f>H110</f>
        <v>720.6</v>
      </c>
      <c r="I109" s="7">
        <f t="shared" ref="I109:J109" si="25">I110</f>
        <v>1567.5</v>
      </c>
      <c r="J109" s="7">
        <f t="shared" si="25"/>
        <v>0</v>
      </c>
      <c r="K109" s="10"/>
    </row>
    <row r="110" spans="2:11" ht="35.25" customHeight="1">
      <c r="B110" s="34" t="s">
        <v>175</v>
      </c>
      <c r="C110" s="55">
        <v>849</v>
      </c>
      <c r="D110" s="56" t="s">
        <v>145</v>
      </c>
      <c r="E110" s="56" t="s">
        <v>151</v>
      </c>
      <c r="F110" s="57" t="s">
        <v>452</v>
      </c>
      <c r="G110" s="17">
        <v>240</v>
      </c>
      <c r="H110" s="7">
        <v>720.6</v>
      </c>
      <c r="I110" s="57">
        <v>1567.5</v>
      </c>
      <c r="J110" s="7">
        <v>0</v>
      </c>
      <c r="K110" s="10"/>
    </row>
    <row r="111" spans="2:11" ht="31.5" customHeight="1">
      <c r="B111" s="20" t="s">
        <v>241</v>
      </c>
      <c r="C111" s="5">
        <v>849</v>
      </c>
      <c r="D111" s="17" t="s">
        <v>145</v>
      </c>
      <c r="E111" s="17" t="s">
        <v>151</v>
      </c>
      <c r="F111" s="7" t="s">
        <v>242</v>
      </c>
      <c r="G111" s="7" t="s">
        <v>167</v>
      </c>
      <c r="H111" s="7">
        <f t="shared" si="21"/>
        <v>6300</v>
      </c>
      <c r="I111" s="7">
        <f t="shared" si="21"/>
        <v>5432.5</v>
      </c>
      <c r="J111" s="7">
        <f t="shared" si="21"/>
        <v>7000</v>
      </c>
      <c r="K111" s="10"/>
    </row>
    <row r="112" spans="2:11" ht="47.25">
      <c r="B112" s="20" t="s">
        <v>243</v>
      </c>
      <c r="C112" s="5">
        <v>849</v>
      </c>
      <c r="D112" s="17" t="s">
        <v>145</v>
      </c>
      <c r="E112" s="17" t="s">
        <v>151</v>
      </c>
      <c r="F112" s="7" t="s">
        <v>244</v>
      </c>
      <c r="G112" s="7" t="s">
        <v>167</v>
      </c>
      <c r="H112" s="7">
        <f t="shared" si="21"/>
        <v>6300</v>
      </c>
      <c r="I112" s="7">
        <f t="shared" si="21"/>
        <v>5432.5</v>
      </c>
      <c r="J112" s="7">
        <f t="shared" si="21"/>
        <v>7000</v>
      </c>
      <c r="K112" s="10"/>
    </row>
    <row r="113" spans="2:11" ht="31.5" customHeight="1">
      <c r="B113" s="20" t="s">
        <v>175</v>
      </c>
      <c r="C113" s="5">
        <v>849</v>
      </c>
      <c r="D113" s="17" t="s">
        <v>145</v>
      </c>
      <c r="E113" s="17" t="s">
        <v>151</v>
      </c>
      <c r="F113" s="7" t="s">
        <v>244</v>
      </c>
      <c r="G113" s="7" t="s">
        <v>176</v>
      </c>
      <c r="H113" s="7">
        <v>6300</v>
      </c>
      <c r="I113" s="57">
        <f>7000-1567.5</f>
        <v>5432.5</v>
      </c>
      <c r="J113" s="7">
        <v>7000</v>
      </c>
      <c r="K113" s="10"/>
    </row>
    <row r="114" spans="2:11">
      <c r="B114" s="18" t="s">
        <v>127</v>
      </c>
      <c r="C114" s="5">
        <v>849</v>
      </c>
      <c r="D114" s="17" t="s">
        <v>145</v>
      </c>
      <c r="E114" s="17" t="s">
        <v>153</v>
      </c>
      <c r="F114" s="7" t="s">
        <v>168</v>
      </c>
      <c r="G114" s="7" t="s">
        <v>167</v>
      </c>
      <c r="H114" s="15">
        <f t="shared" ref="H114:J116" si="26">H115</f>
        <v>100</v>
      </c>
      <c r="I114" s="15">
        <f t="shared" si="26"/>
        <v>100</v>
      </c>
      <c r="J114" s="15">
        <f t="shared" si="26"/>
        <v>100</v>
      </c>
      <c r="K114" s="10"/>
    </row>
    <row r="115" spans="2:11" ht="31.5">
      <c r="B115" s="20" t="s">
        <v>211</v>
      </c>
      <c r="C115" s="5">
        <v>849</v>
      </c>
      <c r="D115" s="17" t="s">
        <v>145</v>
      </c>
      <c r="E115" s="17" t="s">
        <v>153</v>
      </c>
      <c r="F115" s="7" t="s">
        <v>212</v>
      </c>
      <c r="G115" s="7" t="s">
        <v>167</v>
      </c>
      <c r="H115" s="7">
        <f t="shared" si="26"/>
        <v>100</v>
      </c>
      <c r="I115" s="7">
        <f t="shared" si="26"/>
        <v>100</v>
      </c>
      <c r="J115" s="7">
        <f t="shared" si="26"/>
        <v>100</v>
      </c>
      <c r="K115" s="10"/>
    </row>
    <row r="116" spans="2:11" ht="31.5" customHeight="1">
      <c r="B116" s="20" t="s">
        <v>245</v>
      </c>
      <c r="C116" s="5">
        <v>849</v>
      </c>
      <c r="D116" s="17" t="s">
        <v>145</v>
      </c>
      <c r="E116" s="17" t="s">
        <v>153</v>
      </c>
      <c r="F116" s="7" t="s">
        <v>246</v>
      </c>
      <c r="G116" s="7" t="s">
        <v>167</v>
      </c>
      <c r="H116" s="7">
        <f t="shared" si="26"/>
        <v>100</v>
      </c>
      <c r="I116" s="7">
        <f t="shared" si="26"/>
        <v>100</v>
      </c>
      <c r="J116" s="7">
        <f t="shared" si="26"/>
        <v>100</v>
      </c>
      <c r="K116" s="10"/>
    </row>
    <row r="117" spans="2:11" ht="31.5" customHeight="1">
      <c r="B117" s="20" t="s">
        <v>175</v>
      </c>
      <c r="C117" s="5">
        <v>849</v>
      </c>
      <c r="D117" s="17" t="s">
        <v>145</v>
      </c>
      <c r="E117" s="17" t="s">
        <v>153</v>
      </c>
      <c r="F117" s="7" t="s">
        <v>246</v>
      </c>
      <c r="G117" s="17" t="s">
        <v>176</v>
      </c>
      <c r="H117" s="7">
        <v>100</v>
      </c>
      <c r="I117" s="7">
        <v>100</v>
      </c>
      <c r="J117" s="7">
        <v>100</v>
      </c>
      <c r="K117" s="10"/>
    </row>
    <row r="118" spans="2:11">
      <c r="B118" s="21" t="s">
        <v>128</v>
      </c>
      <c r="C118" s="5">
        <v>849</v>
      </c>
      <c r="D118" s="17" t="s">
        <v>152</v>
      </c>
      <c r="E118" s="17" t="s">
        <v>167</v>
      </c>
      <c r="F118" s="7" t="s">
        <v>168</v>
      </c>
      <c r="G118" s="7" t="s">
        <v>167</v>
      </c>
      <c r="H118" s="15">
        <f>SUM(H119,H128,H159)</f>
        <v>181373.2</v>
      </c>
      <c r="I118" s="15">
        <f>SUM(I119,I128,I159)</f>
        <v>24485.1</v>
      </c>
      <c r="J118" s="15">
        <f>SUM(J119,J128,J159)</f>
        <v>27147.7</v>
      </c>
      <c r="K118" s="10"/>
    </row>
    <row r="119" spans="2:11">
      <c r="B119" s="20" t="s">
        <v>129</v>
      </c>
      <c r="C119" s="5">
        <v>849</v>
      </c>
      <c r="D119" s="17" t="s">
        <v>152</v>
      </c>
      <c r="E119" s="17" t="s">
        <v>143</v>
      </c>
      <c r="F119" s="7" t="s">
        <v>168</v>
      </c>
      <c r="G119" s="7" t="s">
        <v>167</v>
      </c>
      <c r="H119" s="7">
        <f t="shared" ref="H119:J120" si="27">H120</f>
        <v>4368</v>
      </c>
      <c r="I119" s="7">
        <f t="shared" si="27"/>
        <v>3868</v>
      </c>
      <c r="J119" s="7">
        <f t="shared" si="27"/>
        <v>3868</v>
      </c>
      <c r="K119" s="10"/>
    </row>
    <row r="120" spans="2:11" ht="31.5">
      <c r="B120" s="20" t="s">
        <v>247</v>
      </c>
      <c r="C120" s="5">
        <v>849</v>
      </c>
      <c r="D120" s="17" t="s">
        <v>152</v>
      </c>
      <c r="E120" s="17" t="s">
        <v>143</v>
      </c>
      <c r="F120" s="7" t="s">
        <v>248</v>
      </c>
      <c r="G120" s="7" t="s">
        <v>167</v>
      </c>
      <c r="H120" s="7">
        <f t="shared" si="27"/>
        <v>4368</v>
      </c>
      <c r="I120" s="7">
        <f t="shared" si="27"/>
        <v>3868</v>
      </c>
      <c r="J120" s="7">
        <f t="shared" si="27"/>
        <v>3868</v>
      </c>
      <c r="K120" s="10"/>
    </row>
    <row r="121" spans="2:11">
      <c r="B121" s="20" t="s">
        <v>249</v>
      </c>
      <c r="C121" s="5">
        <v>849</v>
      </c>
      <c r="D121" s="17" t="s">
        <v>152</v>
      </c>
      <c r="E121" s="17" t="s">
        <v>143</v>
      </c>
      <c r="F121" s="7" t="s">
        <v>250</v>
      </c>
      <c r="G121" s="7" t="s">
        <v>167</v>
      </c>
      <c r="H121" s="7">
        <f>SUM(H122,H124,H126)</f>
        <v>4368</v>
      </c>
      <c r="I121" s="7">
        <f>SUM(I122,I124,I126)</f>
        <v>3868</v>
      </c>
      <c r="J121" s="7">
        <f>SUM(J122,J124,J126)</f>
        <v>3868</v>
      </c>
      <c r="K121" s="10"/>
    </row>
    <row r="122" spans="2:11" ht="31.5">
      <c r="B122" s="20" t="s">
        <v>251</v>
      </c>
      <c r="C122" s="5">
        <v>849</v>
      </c>
      <c r="D122" s="17" t="s">
        <v>152</v>
      </c>
      <c r="E122" s="17" t="s">
        <v>143</v>
      </c>
      <c r="F122" s="7" t="s">
        <v>252</v>
      </c>
      <c r="G122" s="7" t="s">
        <v>167</v>
      </c>
      <c r="H122" s="7">
        <f>H123</f>
        <v>0</v>
      </c>
      <c r="I122" s="7">
        <f>I123</f>
        <v>1000</v>
      </c>
      <c r="J122" s="7">
        <f>J123</f>
        <v>1000</v>
      </c>
      <c r="K122" s="10"/>
    </row>
    <row r="123" spans="2:11" ht="31.5" customHeight="1">
      <c r="B123" s="20" t="s">
        <v>175</v>
      </c>
      <c r="C123" s="5">
        <v>849</v>
      </c>
      <c r="D123" s="17" t="s">
        <v>152</v>
      </c>
      <c r="E123" s="17" t="s">
        <v>143</v>
      </c>
      <c r="F123" s="7" t="s">
        <v>252</v>
      </c>
      <c r="G123" s="7" t="s">
        <v>176</v>
      </c>
      <c r="H123" s="7">
        <f>500-500</f>
        <v>0</v>
      </c>
      <c r="I123" s="7">
        <v>1000</v>
      </c>
      <c r="J123" s="7">
        <v>1000</v>
      </c>
      <c r="K123" s="10"/>
    </row>
    <row r="124" spans="2:11">
      <c r="B124" s="20" t="s">
        <v>253</v>
      </c>
      <c r="C124" s="5">
        <v>849</v>
      </c>
      <c r="D124" s="17" t="s">
        <v>152</v>
      </c>
      <c r="E124" s="17" t="s">
        <v>143</v>
      </c>
      <c r="F124" s="7" t="s">
        <v>254</v>
      </c>
      <c r="G124" s="7" t="s">
        <v>167</v>
      </c>
      <c r="H124" s="7">
        <f>H125</f>
        <v>600</v>
      </c>
      <c r="I124" s="7">
        <f>I125</f>
        <v>600</v>
      </c>
      <c r="J124" s="7">
        <f>J125</f>
        <v>600</v>
      </c>
      <c r="K124" s="10"/>
    </row>
    <row r="125" spans="2:11" ht="31.5" customHeight="1">
      <c r="B125" s="20" t="s">
        <v>175</v>
      </c>
      <c r="C125" s="5">
        <v>849</v>
      </c>
      <c r="D125" s="17" t="s">
        <v>152</v>
      </c>
      <c r="E125" s="17" t="s">
        <v>143</v>
      </c>
      <c r="F125" s="7" t="s">
        <v>254</v>
      </c>
      <c r="G125" s="7" t="s">
        <v>176</v>
      </c>
      <c r="H125" s="7">
        <v>600</v>
      </c>
      <c r="I125" s="7">
        <v>600</v>
      </c>
      <c r="J125" s="7">
        <v>600</v>
      </c>
      <c r="K125" s="10"/>
    </row>
    <row r="126" spans="2:11">
      <c r="B126" s="16" t="s">
        <v>255</v>
      </c>
      <c r="C126" s="5">
        <v>849</v>
      </c>
      <c r="D126" s="17" t="s">
        <v>152</v>
      </c>
      <c r="E126" s="17" t="s">
        <v>143</v>
      </c>
      <c r="F126" s="7" t="s">
        <v>256</v>
      </c>
      <c r="G126" s="7" t="s">
        <v>167</v>
      </c>
      <c r="H126" s="7">
        <f>H127</f>
        <v>3768</v>
      </c>
      <c r="I126" s="7">
        <f>I127</f>
        <v>2268</v>
      </c>
      <c r="J126" s="7">
        <f>J127</f>
        <v>2268</v>
      </c>
      <c r="K126" s="10"/>
    </row>
    <row r="127" spans="2:11" ht="31.5" customHeight="1">
      <c r="B127" s="20" t="s">
        <v>175</v>
      </c>
      <c r="C127" s="5">
        <v>849</v>
      </c>
      <c r="D127" s="17" t="s">
        <v>152</v>
      </c>
      <c r="E127" s="17" t="s">
        <v>143</v>
      </c>
      <c r="F127" s="7" t="s">
        <v>256</v>
      </c>
      <c r="G127" s="7" t="s">
        <v>176</v>
      </c>
      <c r="H127" s="7">
        <f>2268+500+1000</f>
        <v>3768</v>
      </c>
      <c r="I127" s="7">
        <v>2268</v>
      </c>
      <c r="J127" s="7">
        <v>2268</v>
      </c>
      <c r="K127" s="10"/>
    </row>
    <row r="128" spans="2:11">
      <c r="B128" s="21" t="s">
        <v>130</v>
      </c>
      <c r="C128" s="5">
        <v>849</v>
      </c>
      <c r="D128" s="17" t="s">
        <v>152</v>
      </c>
      <c r="E128" s="17" t="s">
        <v>154</v>
      </c>
      <c r="F128" s="7" t="s">
        <v>168</v>
      </c>
      <c r="G128" s="7" t="s">
        <v>167</v>
      </c>
      <c r="H128" s="15">
        <f>SUM(H129,H151)</f>
        <v>114263.6</v>
      </c>
      <c r="I128" s="15">
        <f>SUM(I129,I151)</f>
        <v>2580</v>
      </c>
      <c r="J128" s="15">
        <f>SUM(J129,J151)</f>
        <v>3080</v>
      </c>
      <c r="K128" s="10"/>
    </row>
    <row r="129" spans="2:11" ht="97.5" customHeight="1">
      <c r="B129" s="21" t="s">
        <v>424</v>
      </c>
      <c r="C129" s="5">
        <v>849</v>
      </c>
      <c r="D129" s="17" t="s">
        <v>152</v>
      </c>
      <c r="E129" s="17" t="s">
        <v>154</v>
      </c>
      <c r="F129" s="57" t="s">
        <v>349</v>
      </c>
      <c r="G129" s="7" t="s">
        <v>167</v>
      </c>
      <c r="H129" s="7">
        <f>SUM(H130,H142)</f>
        <v>109423.1</v>
      </c>
      <c r="I129" s="7">
        <f>SUM(I130,I142)</f>
        <v>630</v>
      </c>
      <c r="J129" s="7">
        <f>SUM(J130,J142)</f>
        <v>630</v>
      </c>
      <c r="K129" s="10"/>
    </row>
    <row r="130" spans="2:11" ht="47.25" customHeight="1">
      <c r="B130" s="20" t="s">
        <v>257</v>
      </c>
      <c r="C130" s="5">
        <v>849</v>
      </c>
      <c r="D130" s="17" t="s">
        <v>152</v>
      </c>
      <c r="E130" s="17" t="s">
        <v>154</v>
      </c>
      <c r="F130" s="57" t="s">
        <v>350</v>
      </c>
      <c r="G130" s="7" t="s">
        <v>167</v>
      </c>
      <c r="H130" s="7">
        <f>SUM(H131,H136,H139)</f>
        <v>81241.3</v>
      </c>
      <c r="I130" s="7">
        <f>SUM(I131,I136,I139)</f>
        <v>430</v>
      </c>
      <c r="J130" s="7">
        <f>SUM(J131,J136,J139)</f>
        <v>430</v>
      </c>
      <c r="K130" s="10"/>
    </row>
    <row r="131" spans="2:11" ht="47.25" hidden="1" customHeight="1">
      <c r="B131" s="20" t="s">
        <v>258</v>
      </c>
      <c r="C131" s="5">
        <v>849</v>
      </c>
      <c r="D131" s="17" t="s">
        <v>152</v>
      </c>
      <c r="E131" s="17" t="s">
        <v>154</v>
      </c>
      <c r="F131" s="57" t="s">
        <v>358</v>
      </c>
      <c r="G131" s="7" t="s">
        <v>167</v>
      </c>
      <c r="H131" s="7">
        <f>SUM(H132,H134,)</f>
        <v>0</v>
      </c>
      <c r="I131" s="7"/>
      <c r="J131" s="7">
        <f>SUM(J132,J134,)</f>
        <v>0</v>
      </c>
      <c r="K131" s="10"/>
    </row>
    <row r="132" spans="2:11" ht="31.5" hidden="1" customHeight="1">
      <c r="B132" s="20" t="s">
        <v>260</v>
      </c>
      <c r="C132" s="5">
        <v>849</v>
      </c>
      <c r="D132" s="17" t="s">
        <v>152</v>
      </c>
      <c r="E132" s="17" t="s">
        <v>154</v>
      </c>
      <c r="F132" s="57" t="s">
        <v>359</v>
      </c>
      <c r="G132" s="7" t="s">
        <v>167</v>
      </c>
      <c r="H132" s="7">
        <f>H133</f>
        <v>0</v>
      </c>
      <c r="I132" s="7"/>
      <c r="J132" s="7">
        <f>J133</f>
        <v>0</v>
      </c>
      <c r="K132" s="10"/>
    </row>
    <row r="133" spans="2:11" ht="15.75" hidden="1" customHeight="1">
      <c r="B133" s="20" t="s">
        <v>262</v>
      </c>
      <c r="C133" s="5">
        <v>849</v>
      </c>
      <c r="D133" s="17" t="s">
        <v>152</v>
      </c>
      <c r="E133" s="17" t="s">
        <v>154</v>
      </c>
      <c r="F133" s="57" t="s">
        <v>359</v>
      </c>
      <c r="G133" s="7" t="s">
        <v>263</v>
      </c>
      <c r="H133" s="7"/>
      <c r="I133" s="7"/>
      <c r="J133" s="7"/>
      <c r="K133" s="10"/>
    </row>
    <row r="134" spans="2:11" ht="47.25" hidden="1" customHeight="1">
      <c r="B134" s="20" t="s">
        <v>264</v>
      </c>
      <c r="C134" s="5">
        <v>849</v>
      </c>
      <c r="D134" s="17" t="s">
        <v>152</v>
      </c>
      <c r="E134" s="17" t="s">
        <v>154</v>
      </c>
      <c r="F134" s="57" t="s">
        <v>360</v>
      </c>
      <c r="G134" s="7" t="s">
        <v>167</v>
      </c>
      <c r="H134" s="7">
        <f>H135</f>
        <v>0</v>
      </c>
      <c r="I134" s="7"/>
      <c r="J134" s="7">
        <f>J135</f>
        <v>0</v>
      </c>
      <c r="K134" s="10"/>
    </row>
    <row r="135" spans="2:11" ht="15.75" hidden="1" customHeight="1">
      <c r="B135" s="20" t="s">
        <v>262</v>
      </c>
      <c r="C135" s="5">
        <v>849</v>
      </c>
      <c r="D135" s="17" t="s">
        <v>152</v>
      </c>
      <c r="E135" s="17" t="s">
        <v>154</v>
      </c>
      <c r="F135" s="57" t="s">
        <v>360</v>
      </c>
      <c r="G135" s="7" t="s">
        <v>263</v>
      </c>
      <c r="H135" s="7"/>
      <c r="I135" s="7"/>
      <c r="J135" s="7"/>
      <c r="K135" s="10"/>
    </row>
    <row r="136" spans="2:11" ht="31.5">
      <c r="B136" s="20" t="s">
        <v>266</v>
      </c>
      <c r="C136" s="5">
        <v>849</v>
      </c>
      <c r="D136" s="17" t="s">
        <v>152</v>
      </c>
      <c r="E136" s="17" t="s">
        <v>154</v>
      </c>
      <c r="F136" s="57" t="s">
        <v>351</v>
      </c>
      <c r="G136" s="7" t="s">
        <v>167</v>
      </c>
      <c r="H136" s="7">
        <f t="shared" ref="H136:J137" si="28">H137</f>
        <v>2130.5</v>
      </c>
      <c r="I136" s="7">
        <f t="shared" si="28"/>
        <v>430</v>
      </c>
      <c r="J136" s="7">
        <f t="shared" si="28"/>
        <v>430</v>
      </c>
      <c r="K136" s="10"/>
    </row>
    <row r="137" spans="2:11" ht="31.5">
      <c r="B137" s="20" t="s">
        <v>267</v>
      </c>
      <c r="C137" s="5">
        <v>849</v>
      </c>
      <c r="D137" s="17" t="s">
        <v>152</v>
      </c>
      <c r="E137" s="17" t="s">
        <v>154</v>
      </c>
      <c r="F137" s="57" t="s">
        <v>352</v>
      </c>
      <c r="G137" s="7" t="s">
        <v>167</v>
      </c>
      <c r="H137" s="7">
        <f t="shared" si="28"/>
        <v>2130.5</v>
      </c>
      <c r="I137" s="7">
        <f t="shared" si="28"/>
        <v>430</v>
      </c>
      <c r="J137" s="7">
        <f t="shared" si="28"/>
        <v>430</v>
      </c>
      <c r="K137" s="10"/>
    </row>
    <row r="138" spans="2:11" ht="31.5" customHeight="1">
      <c r="B138" s="20" t="s">
        <v>175</v>
      </c>
      <c r="C138" s="5">
        <v>849</v>
      </c>
      <c r="D138" s="17" t="s">
        <v>152</v>
      </c>
      <c r="E138" s="17" t="s">
        <v>154</v>
      </c>
      <c r="F138" s="57" t="s">
        <v>352</v>
      </c>
      <c r="G138" s="7" t="s">
        <v>176</v>
      </c>
      <c r="H138" s="7">
        <f>430+100+84.3+1516.2</f>
        <v>2130.5</v>
      </c>
      <c r="I138" s="7">
        <v>430</v>
      </c>
      <c r="J138" s="7">
        <v>430</v>
      </c>
      <c r="K138" s="10"/>
    </row>
    <row r="139" spans="2:11" ht="63">
      <c r="B139" s="20" t="s">
        <v>326</v>
      </c>
      <c r="C139" s="5">
        <v>849</v>
      </c>
      <c r="D139" s="17" t="s">
        <v>152</v>
      </c>
      <c r="E139" s="17" t="s">
        <v>154</v>
      </c>
      <c r="F139" s="57" t="s">
        <v>353</v>
      </c>
      <c r="G139" s="7" t="s">
        <v>167</v>
      </c>
      <c r="H139" s="7">
        <f t="shared" ref="H139:J140" si="29">H140</f>
        <v>79110.8</v>
      </c>
      <c r="I139" s="7">
        <f t="shared" si="29"/>
        <v>0</v>
      </c>
      <c r="J139" s="7">
        <f t="shared" si="29"/>
        <v>0</v>
      </c>
      <c r="K139" s="10"/>
    </row>
    <row r="140" spans="2:11" ht="31.5" customHeight="1">
      <c r="B140" s="20" t="s">
        <v>364</v>
      </c>
      <c r="C140" s="5">
        <v>849</v>
      </c>
      <c r="D140" s="17" t="s">
        <v>152</v>
      </c>
      <c r="E140" s="17" t="s">
        <v>154</v>
      </c>
      <c r="F140" s="57" t="s">
        <v>354</v>
      </c>
      <c r="G140" s="7" t="s">
        <v>167</v>
      </c>
      <c r="H140" s="7">
        <f t="shared" si="29"/>
        <v>79110.8</v>
      </c>
      <c r="I140" s="7">
        <f t="shared" si="29"/>
        <v>0</v>
      </c>
      <c r="J140" s="7">
        <f t="shared" si="29"/>
        <v>0</v>
      </c>
      <c r="K140" s="10"/>
    </row>
    <row r="141" spans="2:11">
      <c r="B141" s="20" t="s">
        <v>262</v>
      </c>
      <c r="C141" s="5">
        <v>849</v>
      </c>
      <c r="D141" s="17" t="s">
        <v>152</v>
      </c>
      <c r="E141" s="17" t="s">
        <v>154</v>
      </c>
      <c r="F141" s="57" t="s">
        <v>354</v>
      </c>
      <c r="G141" s="7" t="s">
        <v>263</v>
      </c>
      <c r="H141" s="7">
        <f>3062.6+75776.4+94.8+177</f>
        <v>79110.8</v>
      </c>
      <c r="I141" s="7">
        <v>0</v>
      </c>
      <c r="J141" s="7">
        <v>0</v>
      </c>
      <c r="K141" s="10"/>
    </row>
    <row r="142" spans="2:11" ht="63">
      <c r="B142" s="20" t="s">
        <v>269</v>
      </c>
      <c r="C142" s="5">
        <v>849</v>
      </c>
      <c r="D142" s="17" t="s">
        <v>152</v>
      </c>
      <c r="E142" s="17" t="s">
        <v>154</v>
      </c>
      <c r="F142" s="57" t="s">
        <v>355</v>
      </c>
      <c r="G142" s="7" t="s">
        <v>167</v>
      </c>
      <c r="H142" s="7">
        <f>SUM(H143,H148)</f>
        <v>28181.800000000003</v>
      </c>
      <c r="I142" s="7">
        <f>SUM(I143,I148)</f>
        <v>200</v>
      </c>
      <c r="J142" s="7">
        <f>SUM(J143,J148)</f>
        <v>200</v>
      </c>
      <c r="K142" s="10"/>
    </row>
    <row r="143" spans="2:11" s="61" customFormat="1" ht="47.25">
      <c r="B143" s="34" t="s">
        <v>270</v>
      </c>
      <c r="C143" s="55">
        <v>849</v>
      </c>
      <c r="D143" s="56" t="s">
        <v>152</v>
      </c>
      <c r="E143" s="56" t="s">
        <v>154</v>
      </c>
      <c r="F143" s="57" t="s">
        <v>361</v>
      </c>
      <c r="G143" s="57" t="s">
        <v>167</v>
      </c>
      <c r="H143" s="57">
        <f>SUM(H144,H146)</f>
        <v>28108.100000000002</v>
      </c>
      <c r="I143" s="57">
        <f>SUM(I144,I146)</f>
        <v>0</v>
      </c>
      <c r="J143" s="57">
        <f>SUM(J144,J146)</f>
        <v>0</v>
      </c>
      <c r="K143" s="60"/>
    </row>
    <row r="144" spans="2:11" s="61" customFormat="1" ht="47.25">
      <c r="B144" s="34" t="s">
        <v>271</v>
      </c>
      <c r="C144" s="55">
        <v>849</v>
      </c>
      <c r="D144" s="56" t="s">
        <v>152</v>
      </c>
      <c r="E144" s="56" t="s">
        <v>154</v>
      </c>
      <c r="F144" s="57" t="s">
        <v>362</v>
      </c>
      <c r="G144" s="57" t="s">
        <v>167</v>
      </c>
      <c r="H144" s="57">
        <f>H145</f>
        <v>27264.9</v>
      </c>
      <c r="I144" s="57">
        <f>I145</f>
        <v>0</v>
      </c>
      <c r="J144" s="57">
        <f>J145</f>
        <v>0</v>
      </c>
      <c r="K144" s="60"/>
    </row>
    <row r="145" spans="2:11" s="61" customFormat="1">
      <c r="B145" s="34" t="s">
        <v>262</v>
      </c>
      <c r="C145" s="55">
        <v>849</v>
      </c>
      <c r="D145" s="56" t="s">
        <v>152</v>
      </c>
      <c r="E145" s="56" t="s">
        <v>154</v>
      </c>
      <c r="F145" s="57" t="s">
        <v>362</v>
      </c>
      <c r="G145" s="57" t="s">
        <v>263</v>
      </c>
      <c r="H145" s="57">
        <v>27264.9</v>
      </c>
      <c r="I145" s="57">
        <v>0</v>
      </c>
      <c r="J145" s="57">
        <v>0</v>
      </c>
      <c r="K145" s="60"/>
    </row>
    <row r="146" spans="2:11" s="61" customFormat="1" ht="47.25">
      <c r="B146" s="34" t="s">
        <v>272</v>
      </c>
      <c r="C146" s="55">
        <v>849</v>
      </c>
      <c r="D146" s="56" t="s">
        <v>152</v>
      </c>
      <c r="E146" s="56" t="s">
        <v>154</v>
      </c>
      <c r="F146" s="57" t="s">
        <v>363</v>
      </c>
      <c r="G146" s="57" t="s">
        <v>167</v>
      </c>
      <c r="H146" s="57">
        <f>H147</f>
        <v>843.2</v>
      </c>
      <c r="I146" s="57">
        <f t="shared" ref="I146:J146" si="30">I147</f>
        <v>0</v>
      </c>
      <c r="J146" s="57">
        <f t="shared" si="30"/>
        <v>0</v>
      </c>
      <c r="K146" s="60"/>
    </row>
    <row r="147" spans="2:11" s="61" customFormat="1">
      <c r="B147" s="34" t="s">
        <v>262</v>
      </c>
      <c r="C147" s="55">
        <v>849</v>
      </c>
      <c r="D147" s="56" t="s">
        <v>152</v>
      </c>
      <c r="E147" s="56" t="s">
        <v>154</v>
      </c>
      <c r="F147" s="57" t="s">
        <v>363</v>
      </c>
      <c r="G147" s="57" t="s">
        <v>263</v>
      </c>
      <c r="H147" s="57">
        <v>843.2</v>
      </c>
      <c r="I147" s="57">
        <v>0</v>
      </c>
      <c r="J147" s="57">
        <v>0</v>
      </c>
      <c r="K147" s="60"/>
    </row>
    <row r="148" spans="2:11" ht="31.5">
      <c r="B148" s="20" t="s">
        <v>340</v>
      </c>
      <c r="C148" s="5">
        <v>849</v>
      </c>
      <c r="D148" s="17" t="s">
        <v>152</v>
      </c>
      <c r="E148" s="17" t="s">
        <v>154</v>
      </c>
      <c r="F148" s="57" t="s">
        <v>356</v>
      </c>
      <c r="G148" s="7" t="s">
        <v>167</v>
      </c>
      <c r="H148" s="7">
        <f>SUM(H149)</f>
        <v>73.7</v>
      </c>
      <c r="I148" s="7">
        <f>SUM(I149)</f>
        <v>200</v>
      </c>
      <c r="J148" s="7">
        <f>SUM(J149)</f>
        <v>200</v>
      </c>
      <c r="K148" s="10"/>
    </row>
    <row r="149" spans="2:11" ht="31.5">
      <c r="B149" s="20" t="s">
        <v>273</v>
      </c>
      <c r="C149" s="5">
        <v>849</v>
      </c>
      <c r="D149" s="17" t="s">
        <v>152</v>
      </c>
      <c r="E149" s="17" t="s">
        <v>154</v>
      </c>
      <c r="F149" s="57" t="s">
        <v>357</v>
      </c>
      <c r="G149" s="7" t="s">
        <v>167</v>
      </c>
      <c r="H149" s="7">
        <f>H150</f>
        <v>73.7</v>
      </c>
      <c r="I149" s="7">
        <f>I150</f>
        <v>200</v>
      </c>
      <c r="J149" s="7">
        <f>J150</f>
        <v>200</v>
      </c>
      <c r="K149" s="10"/>
    </row>
    <row r="150" spans="2:11" ht="31.5" customHeight="1">
      <c r="B150" s="20" t="s">
        <v>175</v>
      </c>
      <c r="C150" s="5">
        <v>849</v>
      </c>
      <c r="D150" s="17" t="s">
        <v>152</v>
      </c>
      <c r="E150" s="17" t="s">
        <v>154</v>
      </c>
      <c r="F150" s="57" t="s">
        <v>357</v>
      </c>
      <c r="G150" s="7" t="s">
        <v>176</v>
      </c>
      <c r="H150" s="7">
        <f>200-100-26.3</f>
        <v>73.7</v>
      </c>
      <c r="I150" s="7">
        <v>200</v>
      </c>
      <c r="J150" s="7">
        <v>200</v>
      </c>
      <c r="K150" s="10"/>
    </row>
    <row r="151" spans="2:11" ht="31.5">
      <c r="B151" s="20" t="s">
        <v>247</v>
      </c>
      <c r="C151" s="5">
        <v>849</v>
      </c>
      <c r="D151" s="17" t="s">
        <v>152</v>
      </c>
      <c r="E151" s="17" t="s">
        <v>154</v>
      </c>
      <c r="F151" s="7" t="s">
        <v>248</v>
      </c>
      <c r="G151" s="7" t="s">
        <v>167</v>
      </c>
      <c r="H151" s="7">
        <f t="shared" ref="H151:J155" si="31">H152</f>
        <v>4840.5</v>
      </c>
      <c r="I151" s="7">
        <f t="shared" si="31"/>
        <v>1950</v>
      </c>
      <c r="J151" s="7">
        <f t="shared" si="31"/>
        <v>2450</v>
      </c>
      <c r="K151" s="10"/>
    </row>
    <row r="152" spans="2:11">
      <c r="B152" s="20" t="s">
        <v>274</v>
      </c>
      <c r="C152" s="5">
        <v>849</v>
      </c>
      <c r="D152" s="17" t="s">
        <v>152</v>
      </c>
      <c r="E152" s="17" t="s">
        <v>154</v>
      </c>
      <c r="F152" s="7" t="s">
        <v>275</v>
      </c>
      <c r="G152" s="7" t="s">
        <v>167</v>
      </c>
      <c r="H152" s="7">
        <f>H155+H153+H157</f>
        <v>4840.5</v>
      </c>
      <c r="I152" s="7">
        <f>I155</f>
        <v>1950</v>
      </c>
      <c r="J152" s="7">
        <f>J155</f>
        <v>2450</v>
      </c>
      <c r="K152" s="10"/>
    </row>
    <row r="153" spans="2:11" s="61" customFormat="1" ht="31.5">
      <c r="B153" s="34" t="s">
        <v>377</v>
      </c>
      <c r="C153" s="55">
        <v>849</v>
      </c>
      <c r="D153" s="56" t="s">
        <v>152</v>
      </c>
      <c r="E153" s="56" t="s">
        <v>154</v>
      </c>
      <c r="F153" s="57" t="s">
        <v>436</v>
      </c>
      <c r="G153" s="57"/>
      <c r="H153" s="57">
        <f>H154</f>
        <v>866.8</v>
      </c>
      <c r="I153" s="57">
        <f t="shared" ref="I153:J153" si="32">I154</f>
        <v>0</v>
      </c>
      <c r="J153" s="57">
        <f t="shared" si="32"/>
        <v>0</v>
      </c>
      <c r="K153" s="60"/>
    </row>
    <row r="154" spans="2:11" s="61" customFormat="1" ht="47.25">
      <c r="B154" s="34" t="s">
        <v>175</v>
      </c>
      <c r="C154" s="55">
        <v>849</v>
      </c>
      <c r="D154" s="56" t="s">
        <v>152</v>
      </c>
      <c r="E154" s="56" t="s">
        <v>154</v>
      </c>
      <c r="F154" s="57" t="s">
        <v>436</v>
      </c>
      <c r="G154" s="56">
        <v>240</v>
      </c>
      <c r="H154" s="57">
        <v>866.8</v>
      </c>
      <c r="I154" s="57">
        <v>0</v>
      </c>
      <c r="J154" s="57">
        <v>0</v>
      </c>
      <c r="K154" s="60"/>
    </row>
    <row r="155" spans="2:11">
      <c r="B155" s="20" t="s">
        <v>276</v>
      </c>
      <c r="C155" s="5">
        <v>849</v>
      </c>
      <c r="D155" s="17" t="s">
        <v>152</v>
      </c>
      <c r="E155" s="17" t="s">
        <v>154</v>
      </c>
      <c r="F155" s="7" t="s">
        <v>277</v>
      </c>
      <c r="G155" s="7" t="s">
        <v>167</v>
      </c>
      <c r="H155" s="7">
        <f t="shared" si="31"/>
        <v>1951.2</v>
      </c>
      <c r="I155" s="7">
        <f>I156</f>
        <v>1950</v>
      </c>
      <c r="J155" s="7">
        <f t="shared" si="31"/>
        <v>2450</v>
      </c>
      <c r="K155" s="10"/>
    </row>
    <row r="156" spans="2:11" ht="31.5" customHeight="1">
      <c r="B156" s="20" t="s">
        <v>175</v>
      </c>
      <c r="C156" s="5">
        <v>849</v>
      </c>
      <c r="D156" s="17" t="s">
        <v>152</v>
      </c>
      <c r="E156" s="17" t="s">
        <v>154</v>
      </c>
      <c r="F156" s="7" t="s">
        <v>277</v>
      </c>
      <c r="G156" s="7" t="s">
        <v>176</v>
      </c>
      <c r="H156" s="7">
        <f>3639.4+0.2-11.5-1266.3-843.2+198+318.9-84.3</f>
        <v>1951.2</v>
      </c>
      <c r="I156" s="7">
        <v>1950</v>
      </c>
      <c r="J156" s="7">
        <v>2450</v>
      </c>
      <c r="K156" s="10"/>
    </row>
    <row r="157" spans="2:11" s="61" customFormat="1" ht="31.5" customHeight="1">
      <c r="B157" s="34" t="s">
        <v>437</v>
      </c>
      <c r="C157" s="55">
        <v>849</v>
      </c>
      <c r="D157" s="56" t="s">
        <v>152</v>
      </c>
      <c r="E157" s="56" t="s">
        <v>154</v>
      </c>
      <c r="F157" s="57" t="s">
        <v>438</v>
      </c>
      <c r="G157" s="57"/>
      <c r="H157" s="57">
        <f>H158</f>
        <v>2022.5</v>
      </c>
      <c r="I157" s="57">
        <f t="shared" ref="I157:J157" si="33">I158</f>
        <v>0</v>
      </c>
      <c r="J157" s="57">
        <f t="shared" si="33"/>
        <v>0</v>
      </c>
      <c r="K157" s="60"/>
    </row>
    <row r="158" spans="2:11" s="61" customFormat="1" ht="31.5" customHeight="1">
      <c r="B158" s="34" t="s">
        <v>175</v>
      </c>
      <c r="C158" s="55">
        <v>849</v>
      </c>
      <c r="D158" s="56" t="s">
        <v>152</v>
      </c>
      <c r="E158" s="56" t="s">
        <v>154</v>
      </c>
      <c r="F158" s="57" t="s">
        <v>438</v>
      </c>
      <c r="G158" s="56">
        <v>240</v>
      </c>
      <c r="H158" s="57">
        <v>2022.5</v>
      </c>
      <c r="I158" s="57">
        <v>0</v>
      </c>
      <c r="J158" s="57">
        <v>0</v>
      </c>
      <c r="K158" s="60"/>
    </row>
    <row r="159" spans="2:11">
      <c r="B159" s="21" t="s">
        <v>131</v>
      </c>
      <c r="C159" s="5">
        <v>849</v>
      </c>
      <c r="D159" s="17" t="s">
        <v>152</v>
      </c>
      <c r="E159" s="17" t="s">
        <v>144</v>
      </c>
      <c r="F159" s="7" t="s">
        <v>168</v>
      </c>
      <c r="G159" s="7" t="s">
        <v>167</v>
      </c>
      <c r="H159" s="15">
        <f>SUM(H160,H172)</f>
        <v>62741.600000000006</v>
      </c>
      <c r="I159" s="15">
        <f>SUM(I160,I172)</f>
        <v>18037.099999999999</v>
      </c>
      <c r="J159" s="15">
        <f>SUM(J160,J172)</f>
        <v>20199.7</v>
      </c>
      <c r="K159" s="10"/>
    </row>
    <row r="160" spans="2:11">
      <c r="B160" s="20" t="s">
        <v>186</v>
      </c>
      <c r="C160" s="5">
        <v>849</v>
      </c>
      <c r="D160" s="17" t="s">
        <v>152</v>
      </c>
      <c r="E160" s="17" t="s">
        <v>144</v>
      </c>
      <c r="F160" s="7" t="s">
        <v>182</v>
      </c>
      <c r="G160" s="7" t="s">
        <v>167</v>
      </c>
      <c r="H160" s="7">
        <f>H161</f>
        <v>2701.4</v>
      </c>
      <c r="I160" s="7">
        <f t="shared" ref="I160:J160" si="34">I161</f>
        <v>0</v>
      </c>
      <c r="J160" s="7">
        <f t="shared" si="34"/>
        <v>0</v>
      </c>
      <c r="K160" s="10"/>
    </row>
    <row r="161" spans="2:11" ht="47.25">
      <c r="B161" s="20" t="s">
        <v>278</v>
      </c>
      <c r="C161" s="5">
        <v>849</v>
      </c>
      <c r="D161" s="17" t="s">
        <v>152</v>
      </c>
      <c r="E161" s="17" t="s">
        <v>144</v>
      </c>
      <c r="F161" s="7" t="s">
        <v>279</v>
      </c>
      <c r="G161" s="7" t="s">
        <v>167</v>
      </c>
      <c r="H161" s="7">
        <f>H164+H168+H170+H166+H162</f>
        <v>2701.4</v>
      </c>
      <c r="I161" s="7">
        <f t="shared" ref="I161:J161" si="35">I164+I168+I170</f>
        <v>0</v>
      </c>
      <c r="J161" s="7">
        <f t="shared" si="35"/>
        <v>0</v>
      </c>
      <c r="K161" s="10"/>
    </row>
    <row r="162" spans="2:11" s="61" customFormat="1" ht="63">
      <c r="B162" s="34" t="s">
        <v>442</v>
      </c>
      <c r="C162" s="55">
        <v>849</v>
      </c>
      <c r="D162" s="56" t="s">
        <v>152</v>
      </c>
      <c r="E162" s="56" t="s">
        <v>144</v>
      </c>
      <c r="F162" s="57" t="s">
        <v>441</v>
      </c>
      <c r="G162" s="57"/>
      <c r="H162" s="57">
        <f>H163</f>
        <v>1</v>
      </c>
      <c r="I162" s="57">
        <f t="shared" ref="I162:J162" si="36">I163</f>
        <v>0</v>
      </c>
      <c r="J162" s="57">
        <f t="shared" si="36"/>
        <v>0</v>
      </c>
      <c r="K162" s="60"/>
    </row>
    <row r="163" spans="2:11" s="61" customFormat="1">
      <c r="B163" s="34" t="s">
        <v>186</v>
      </c>
      <c r="C163" s="55">
        <v>849</v>
      </c>
      <c r="D163" s="56" t="s">
        <v>152</v>
      </c>
      <c r="E163" s="56" t="s">
        <v>144</v>
      </c>
      <c r="F163" s="57" t="s">
        <v>441</v>
      </c>
      <c r="G163" s="56">
        <v>540</v>
      </c>
      <c r="H163" s="57">
        <v>1</v>
      </c>
      <c r="I163" s="57">
        <v>0</v>
      </c>
      <c r="J163" s="57">
        <v>0</v>
      </c>
      <c r="K163" s="60"/>
    </row>
    <row r="164" spans="2:11" ht="63">
      <c r="B164" s="20" t="s">
        <v>384</v>
      </c>
      <c r="C164" s="5">
        <v>849</v>
      </c>
      <c r="D164" s="17" t="s">
        <v>152</v>
      </c>
      <c r="E164" s="17" t="s">
        <v>144</v>
      </c>
      <c r="F164" s="7" t="s">
        <v>383</v>
      </c>
      <c r="G164" s="7"/>
      <c r="H164" s="7">
        <f>H165</f>
        <v>1255.9000000000001</v>
      </c>
      <c r="I164" s="7">
        <f>I165</f>
        <v>0</v>
      </c>
      <c r="J164" s="7"/>
      <c r="K164" s="10"/>
    </row>
    <row r="165" spans="2:11">
      <c r="B165" s="20" t="s">
        <v>186</v>
      </c>
      <c r="C165" s="5">
        <v>849</v>
      </c>
      <c r="D165" s="17" t="s">
        <v>152</v>
      </c>
      <c r="E165" s="17" t="s">
        <v>144</v>
      </c>
      <c r="F165" s="7" t="s">
        <v>383</v>
      </c>
      <c r="G165" s="7" t="s">
        <v>187</v>
      </c>
      <c r="H165" s="7">
        <f>757.1+498.8</f>
        <v>1255.9000000000001</v>
      </c>
      <c r="I165" s="7">
        <v>0</v>
      </c>
      <c r="J165" s="7">
        <v>0</v>
      </c>
      <c r="K165" s="10"/>
    </row>
    <row r="166" spans="2:11" ht="78.75">
      <c r="B166" s="20" t="s">
        <v>422</v>
      </c>
      <c r="C166" s="5">
        <v>849</v>
      </c>
      <c r="D166" s="17" t="s">
        <v>152</v>
      </c>
      <c r="E166" s="17" t="s">
        <v>144</v>
      </c>
      <c r="F166" s="7" t="s">
        <v>423</v>
      </c>
      <c r="G166" s="7"/>
      <c r="H166" s="7">
        <f>H167</f>
        <v>875.1</v>
      </c>
      <c r="I166" s="7">
        <f t="shared" ref="I166:J166" si="37">I167</f>
        <v>0</v>
      </c>
      <c r="J166" s="7">
        <f t="shared" si="37"/>
        <v>0</v>
      </c>
      <c r="K166" s="10"/>
    </row>
    <row r="167" spans="2:11">
      <c r="B167" s="20" t="s">
        <v>186</v>
      </c>
      <c r="C167" s="5">
        <v>849</v>
      </c>
      <c r="D167" s="17" t="s">
        <v>152</v>
      </c>
      <c r="E167" s="17" t="s">
        <v>144</v>
      </c>
      <c r="F167" s="7" t="s">
        <v>423</v>
      </c>
      <c r="G167" s="17">
        <v>540</v>
      </c>
      <c r="H167" s="7">
        <v>875.1</v>
      </c>
      <c r="I167" s="7">
        <v>0</v>
      </c>
      <c r="J167" s="7">
        <v>0</v>
      </c>
      <c r="K167" s="10"/>
    </row>
    <row r="168" spans="2:11" ht="48.75" customHeight="1">
      <c r="B168" s="20" t="s">
        <v>280</v>
      </c>
      <c r="C168" s="5">
        <v>849</v>
      </c>
      <c r="D168" s="17" t="s">
        <v>152</v>
      </c>
      <c r="E168" s="17" t="s">
        <v>144</v>
      </c>
      <c r="F168" s="7" t="s">
        <v>281</v>
      </c>
      <c r="G168" s="7" t="s">
        <v>167</v>
      </c>
      <c r="H168" s="7">
        <f>H169</f>
        <v>69.900000000000006</v>
      </c>
      <c r="I168" s="7">
        <f>I169</f>
        <v>0</v>
      </c>
      <c r="J168" s="7">
        <f>J169</f>
        <v>0</v>
      </c>
      <c r="K168" s="10"/>
    </row>
    <row r="169" spans="2:11">
      <c r="B169" s="20" t="s">
        <v>186</v>
      </c>
      <c r="C169" s="5">
        <v>849</v>
      </c>
      <c r="D169" s="17" t="s">
        <v>152</v>
      </c>
      <c r="E169" s="17" t="s">
        <v>144</v>
      </c>
      <c r="F169" s="7" t="s">
        <v>281</v>
      </c>
      <c r="G169" s="7" t="s">
        <v>187</v>
      </c>
      <c r="H169" s="7">
        <v>69.900000000000006</v>
      </c>
      <c r="I169" s="7">
        <v>0</v>
      </c>
      <c r="J169" s="7">
        <v>0</v>
      </c>
      <c r="K169" s="10"/>
    </row>
    <row r="170" spans="2:11" ht="63">
      <c r="B170" s="20" t="s">
        <v>282</v>
      </c>
      <c r="C170" s="5">
        <v>849</v>
      </c>
      <c r="D170" s="17" t="s">
        <v>152</v>
      </c>
      <c r="E170" s="17" t="s">
        <v>144</v>
      </c>
      <c r="F170" s="7" t="s">
        <v>283</v>
      </c>
      <c r="G170" s="7" t="s">
        <v>167</v>
      </c>
      <c r="H170" s="7">
        <f>H171</f>
        <v>499.5</v>
      </c>
      <c r="I170" s="7">
        <f>I171</f>
        <v>0</v>
      </c>
      <c r="J170" s="7">
        <f>J171</f>
        <v>0</v>
      </c>
      <c r="K170" s="10"/>
    </row>
    <row r="171" spans="2:11">
      <c r="B171" s="20" t="s">
        <v>186</v>
      </c>
      <c r="C171" s="5">
        <v>849</v>
      </c>
      <c r="D171" s="17" t="s">
        <v>152</v>
      </c>
      <c r="E171" s="17" t="s">
        <v>144</v>
      </c>
      <c r="F171" s="7" t="s">
        <v>283</v>
      </c>
      <c r="G171" s="7" t="s">
        <v>187</v>
      </c>
      <c r="H171" s="7">
        <f>500.3-0.8</f>
        <v>499.5</v>
      </c>
      <c r="I171" s="7">
        <v>0</v>
      </c>
      <c r="J171" s="7">
        <v>0</v>
      </c>
      <c r="K171" s="10"/>
    </row>
    <row r="172" spans="2:11" ht="31.5">
      <c r="B172" s="20" t="s">
        <v>247</v>
      </c>
      <c r="C172" s="5">
        <v>849</v>
      </c>
      <c r="D172" s="17" t="s">
        <v>152</v>
      </c>
      <c r="E172" s="17" t="s">
        <v>144</v>
      </c>
      <c r="F172" s="7" t="s">
        <v>248</v>
      </c>
      <c r="G172" s="7" t="s">
        <v>167</v>
      </c>
      <c r="H172" s="7">
        <f>H173</f>
        <v>60040.200000000004</v>
      </c>
      <c r="I172" s="7">
        <f>I173</f>
        <v>18037.099999999999</v>
      </c>
      <c r="J172" s="7">
        <f>J173</f>
        <v>20199.7</v>
      </c>
      <c r="K172" s="10"/>
    </row>
    <row r="173" spans="2:11">
      <c r="B173" s="20" t="s">
        <v>284</v>
      </c>
      <c r="C173" s="5">
        <v>849</v>
      </c>
      <c r="D173" s="17" t="s">
        <v>152</v>
      </c>
      <c r="E173" s="17" t="s">
        <v>144</v>
      </c>
      <c r="F173" s="7" t="s">
        <v>285</v>
      </c>
      <c r="G173" s="7" t="s">
        <v>167</v>
      </c>
      <c r="H173" s="7">
        <f>SUM(H174,H177,H179,H182,H184,H186,H189,H191)</f>
        <v>60040.200000000004</v>
      </c>
      <c r="I173" s="7">
        <f>SUM(I174,I177,I179,I184,I186,I189,I191)</f>
        <v>18037.099999999999</v>
      </c>
      <c r="J173" s="7">
        <f>SUM(J174,J177,J179,J184,J186,J189,J191)</f>
        <v>20199.7</v>
      </c>
      <c r="K173" s="10"/>
    </row>
    <row r="174" spans="2:11">
      <c r="B174" s="20" t="s">
        <v>286</v>
      </c>
      <c r="C174" s="5">
        <v>849</v>
      </c>
      <c r="D174" s="17" t="s">
        <v>152</v>
      </c>
      <c r="E174" s="17" t="s">
        <v>144</v>
      </c>
      <c r="F174" s="7" t="s">
        <v>287</v>
      </c>
      <c r="G174" s="7" t="s">
        <v>167</v>
      </c>
      <c r="H174" s="7">
        <f>H175+H176</f>
        <v>6033.5999999999995</v>
      </c>
      <c r="I174" s="7">
        <f>I175</f>
        <v>5000</v>
      </c>
      <c r="J174" s="7">
        <f>J175</f>
        <v>5000</v>
      </c>
      <c r="K174" s="10"/>
    </row>
    <row r="175" spans="2:11" ht="31.5" customHeight="1">
      <c r="B175" s="20" t="s">
        <v>175</v>
      </c>
      <c r="C175" s="5">
        <v>849</v>
      </c>
      <c r="D175" s="17" t="s">
        <v>152</v>
      </c>
      <c r="E175" s="17" t="s">
        <v>144</v>
      </c>
      <c r="F175" s="7" t="s">
        <v>287</v>
      </c>
      <c r="G175" s="7" t="s">
        <v>176</v>
      </c>
      <c r="H175" s="7">
        <f>5000-60+90.2+500+443.4</f>
        <v>5973.5999999999995</v>
      </c>
      <c r="I175" s="7">
        <v>5000</v>
      </c>
      <c r="J175" s="7">
        <v>5000</v>
      </c>
      <c r="K175" s="10"/>
    </row>
    <row r="176" spans="2:11" ht="24" customHeight="1">
      <c r="B176" s="34" t="s">
        <v>262</v>
      </c>
      <c r="C176" s="55">
        <v>849</v>
      </c>
      <c r="D176" s="56" t="s">
        <v>152</v>
      </c>
      <c r="E176" s="56" t="s">
        <v>144</v>
      </c>
      <c r="F176" s="57" t="s">
        <v>287</v>
      </c>
      <c r="G176" s="56">
        <v>410</v>
      </c>
      <c r="H176" s="57">
        <v>60</v>
      </c>
      <c r="I176" s="57">
        <v>0</v>
      </c>
      <c r="J176" s="57">
        <v>0</v>
      </c>
      <c r="K176" s="10"/>
    </row>
    <row r="177" spans="2:11">
      <c r="B177" s="20" t="s">
        <v>288</v>
      </c>
      <c r="C177" s="5">
        <v>849</v>
      </c>
      <c r="D177" s="17" t="s">
        <v>152</v>
      </c>
      <c r="E177" s="17" t="s">
        <v>144</v>
      </c>
      <c r="F177" s="7" t="s">
        <v>289</v>
      </c>
      <c r="G177" s="7" t="s">
        <v>167</v>
      </c>
      <c r="H177" s="7">
        <f>H178</f>
        <v>319.39999999999998</v>
      </c>
      <c r="I177" s="7">
        <f>I178</f>
        <v>500</v>
      </c>
      <c r="J177" s="7">
        <f>J178</f>
        <v>500</v>
      </c>
      <c r="K177" s="10"/>
    </row>
    <row r="178" spans="2:11" ht="31.5" customHeight="1">
      <c r="B178" s="20" t="s">
        <v>175</v>
      </c>
      <c r="C178" s="5">
        <v>849</v>
      </c>
      <c r="D178" s="17" t="s">
        <v>152</v>
      </c>
      <c r="E178" s="17" t="s">
        <v>144</v>
      </c>
      <c r="F178" s="7" t="s">
        <v>289</v>
      </c>
      <c r="G178" s="7" t="s">
        <v>176</v>
      </c>
      <c r="H178" s="7">
        <f>400-80.6</f>
        <v>319.39999999999998</v>
      </c>
      <c r="I178" s="7">
        <v>500</v>
      </c>
      <c r="J178" s="7">
        <v>500</v>
      </c>
      <c r="K178" s="10"/>
    </row>
    <row r="179" spans="2:11" ht="31.5">
      <c r="B179" s="20" t="s">
        <v>290</v>
      </c>
      <c r="C179" s="5">
        <v>849</v>
      </c>
      <c r="D179" s="17" t="s">
        <v>152</v>
      </c>
      <c r="E179" s="17" t="s">
        <v>144</v>
      </c>
      <c r="F179" s="7" t="s">
        <v>291</v>
      </c>
      <c r="G179" s="7" t="s">
        <v>167</v>
      </c>
      <c r="H179" s="7">
        <f>H180+H181</f>
        <v>13871.300000000001</v>
      </c>
      <c r="I179" s="7">
        <f t="shared" ref="I179:J179" si="38">I180+I181</f>
        <v>10511</v>
      </c>
      <c r="J179" s="7">
        <f t="shared" si="38"/>
        <v>11263.400000000001</v>
      </c>
      <c r="K179" s="10"/>
    </row>
    <row r="180" spans="2:11" ht="31.5" customHeight="1">
      <c r="B180" s="20" t="s">
        <v>175</v>
      </c>
      <c r="C180" s="5">
        <v>849</v>
      </c>
      <c r="D180" s="17" t="s">
        <v>152</v>
      </c>
      <c r="E180" s="17" t="s">
        <v>144</v>
      </c>
      <c r="F180" s="7" t="s">
        <v>291</v>
      </c>
      <c r="G180" s="7" t="s">
        <v>176</v>
      </c>
      <c r="H180" s="7">
        <f>8499.2-90.2+90.2+1500-600+611.5+3260.6</f>
        <v>13271.300000000001</v>
      </c>
      <c r="I180" s="7">
        <f>10571.8-60.8</f>
        <v>10511</v>
      </c>
      <c r="J180" s="7">
        <f>11324.2-60.8</f>
        <v>11263.400000000001</v>
      </c>
      <c r="K180" s="10"/>
    </row>
    <row r="181" spans="2:11" ht="24.75" customHeight="1">
      <c r="B181" s="34" t="s">
        <v>262</v>
      </c>
      <c r="C181" s="55">
        <v>849</v>
      </c>
      <c r="D181" s="56" t="s">
        <v>152</v>
      </c>
      <c r="E181" s="56" t="s">
        <v>144</v>
      </c>
      <c r="F181" s="57" t="s">
        <v>291</v>
      </c>
      <c r="G181" s="56" t="s">
        <v>263</v>
      </c>
      <c r="H181" s="7">
        <v>600</v>
      </c>
      <c r="I181" s="7">
        <v>0</v>
      </c>
      <c r="J181" s="7">
        <v>0</v>
      </c>
      <c r="K181" s="10"/>
    </row>
    <row r="182" spans="2:11" ht="31.5" customHeight="1">
      <c r="B182" s="34" t="s">
        <v>426</v>
      </c>
      <c r="C182" s="55">
        <v>849</v>
      </c>
      <c r="D182" s="56" t="s">
        <v>152</v>
      </c>
      <c r="E182" s="56" t="s">
        <v>144</v>
      </c>
      <c r="F182" s="57" t="s">
        <v>427</v>
      </c>
      <c r="G182" s="7"/>
      <c r="H182" s="7">
        <f>H183</f>
        <v>33590.699999999997</v>
      </c>
      <c r="I182" s="7">
        <f t="shared" ref="I182:J182" si="39">I183</f>
        <v>0</v>
      </c>
      <c r="J182" s="7">
        <f t="shared" si="39"/>
        <v>0</v>
      </c>
      <c r="K182" s="10"/>
    </row>
    <row r="183" spans="2:11" ht="31.5" customHeight="1">
      <c r="B183" s="34" t="s">
        <v>262</v>
      </c>
      <c r="C183" s="55">
        <v>849</v>
      </c>
      <c r="D183" s="56" t="s">
        <v>152</v>
      </c>
      <c r="E183" s="56" t="s">
        <v>144</v>
      </c>
      <c r="F183" s="57" t="s">
        <v>427</v>
      </c>
      <c r="G183" s="17">
        <v>240</v>
      </c>
      <c r="H183" s="7">
        <f>32090.7+1500</f>
        <v>33590.699999999997</v>
      </c>
      <c r="I183" s="7">
        <v>0</v>
      </c>
      <c r="J183" s="7">
        <v>0</v>
      </c>
      <c r="K183" s="10"/>
    </row>
    <row r="184" spans="2:11">
      <c r="B184" s="16" t="s">
        <v>292</v>
      </c>
      <c r="C184" s="5">
        <v>849</v>
      </c>
      <c r="D184" s="17" t="s">
        <v>152</v>
      </c>
      <c r="E184" s="17" t="s">
        <v>144</v>
      </c>
      <c r="F184" s="7" t="s">
        <v>293</v>
      </c>
      <c r="G184" s="7" t="s">
        <v>167</v>
      </c>
      <c r="H184" s="7">
        <f>H185</f>
        <v>2149.9</v>
      </c>
      <c r="I184" s="7">
        <f>I185</f>
        <v>0</v>
      </c>
      <c r="J184" s="7">
        <f>J185</f>
        <v>1410.2</v>
      </c>
      <c r="K184" s="10"/>
    </row>
    <row r="185" spans="2:11" ht="31.5" customHeight="1">
      <c r="B185" s="20" t="s">
        <v>175</v>
      </c>
      <c r="C185" s="5">
        <v>849</v>
      </c>
      <c r="D185" s="17" t="s">
        <v>152</v>
      </c>
      <c r="E185" s="17" t="s">
        <v>144</v>
      </c>
      <c r="F185" s="7" t="s">
        <v>293</v>
      </c>
      <c r="G185" s="7" t="s">
        <v>176</v>
      </c>
      <c r="H185" s="7">
        <f>1410.2+739.7</f>
        <v>2149.9</v>
      </c>
      <c r="I185" s="7">
        <f>1410.2-1410.2</f>
        <v>0</v>
      </c>
      <c r="J185" s="7">
        <v>1410.2</v>
      </c>
      <c r="K185" s="10"/>
    </row>
    <row r="186" spans="2:11" ht="15.75" hidden="1" customHeight="1">
      <c r="B186" s="20" t="s">
        <v>294</v>
      </c>
      <c r="C186" s="5">
        <v>849</v>
      </c>
      <c r="D186" s="17" t="s">
        <v>152</v>
      </c>
      <c r="E186" s="17" t="s">
        <v>144</v>
      </c>
      <c r="F186" s="7" t="s">
        <v>295</v>
      </c>
      <c r="G186" s="7" t="s">
        <v>167</v>
      </c>
      <c r="H186" s="7">
        <f>H187</f>
        <v>0</v>
      </c>
      <c r="I186" s="7"/>
      <c r="J186" s="7">
        <f>J187</f>
        <v>0</v>
      </c>
      <c r="K186" s="10"/>
    </row>
    <row r="187" spans="2:11" ht="63" hidden="1" customHeight="1">
      <c r="B187" s="20" t="s">
        <v>296</v>
      </c>
      <c r="C187" s="5">
        <v>849</v>
      </c>
      <c r="D187" s="17" t="s">
        <v>152</v>
      </c>
      <c r="E187" s="17" t="s">
        <v>144</v>
      </c>
      <c r="F187" s="7" t="s">
        <v>297</v>
      </c>
      <c r="G187" s="7" t="s">
        <v>167</v>
      </c>
      <c r="H187" s="7">
        <f>H188</f>
        <v>0</v>
      </c>
      <c r="I187" s="7"/>
      <c r="J187" s="7">
        <f>J188</f>
        <v>0</v>
      </c>
      <c r="K187" s="10"/>
    </row>
    <row r="188" spans="2:11" ht="15.75" hidden="1" customHeight="1">
      <c r="B188" s="20" t="s">
        <v>262</v>
      </c>
      <c r="C188" s="5">
        <v>849</v>
      </c>
      <c r="D188" s="17" t="s">
        <v>152</v>
      </c>
      <c r="E188" s="17" t="s">
        <v>144</v>
      </c>
      <c r="F188" s="7" t="s">
        <v>297</v>
      </c>
      <c r="G188" s="7" t="s">
        <v>263</v>
      </c>
      <c r="H188" s="7"/>
      <c r="I188" s="7"/>
      <c r="J188" s="7"/>
      <c r="K188" s="10"/>
    </row>
    <row r="189" spans="2:11" s="61" customFormat="1" ht="34.5" customHeight="1">
      <c r="B189" s="34" t="s">
        <v>428</v>
      </c>
      <c r="C189" s="55">
        <v>849</v>
      </c>
      <c r="D189" s="56" t="s">
        <v>152</v>
      </c>
      <c r="E189" s="56" t="s">
        <v>144</v>
      </c>
      <c r="F189" s="57" t="s">
        <v>429</v>
      </c>
      <c r="G189" s="57"/>
      <c r="H189" s="57">
        <f>H190</f>
        <v>4001.8</v>
      </c>
      <c r="I189" s="57">
        <f t="shared" ref="I189:J189" si="40">I190</f>
        <v>1965.3</v>
      </c>
      <c r="J189" s="57">
        <f t="shared" si="40"/>
        <v>1965.3</v>
      </c>
      <c r="K189" s="60"/>
    </row>
    <row r="190" spans="2:11" s="61" customFormat="1" ht="32.25" customHeight="1">
      <c r="B190" s="34" t="s">
        <v>175</v>
      </c>
      <c r="C190" s="55">
        <v>849</v>
      </c>
      <c r="D190" s="56" t="s">
        <v>152</v>
      </c>
      <c r="E190" s="56" t="s">
        <v>144</v>
      </c>
      <c r="F190" s="57" t="s">
        <v>429</v>
      </c>
      <c r="G190" s="56">
        <v>240</v>
      </c>
      <c r="H190" s="57">
        <v>4001.8</v>
      </c>
      <c r="I190" s="57">
        <v>1965.3</v>
      </c>
      <c r="J190" s="57">
        <v>1965.3</v>
      </c>
      <c r="K190" s="60"/>
    </row>
    <row r="191" spans="2:11" s="61" customFormat="1" ht="32.25" customHeight="1">
      <c r="B191" s="34" t="s">
        <v>430</v>
      </c>
      <c r="C191" s="55">
        <v>849</v>
      </c>
      <c r="D191" s="56" t="s">
        <v>152</v>
      </c>
      <c r="E191" s="56" t="s">
        <v>144</v>
      </c>
      <c r="F191" s="57" t="s">
        <v>431</v>
      </c>
      <c r="G191" s="57"/>
      <c r="H191" s="57">
        <f>H192</f>
        <v>73.5</v>
      </c>
      <c r="I191" s="57">
        <f t="shared" ref="I191:J191" si="41">I192</f>
        <v>60.8</v>
      </c>
      <c r="J191" s="57">
        <f t="shared" si="41"/>
        <v>60.8</v>
      </c>
      <c r="K191" s="60"/>
    </row>
    <row r="192" spans="2:11" s="61" customFormat="1" ht="32.25" customHeight="1">
      <c r="B192" s="34" t="s">
        <v>175</v>
      </c>
      <c r="C192" s="55">
        <v>849</v>
      </c>
      <c r="D192" s="56" t="s">
        <v>152</v>
      </c>
      <c r="E192" s="56" t="s">
        <v>144</v>
      </c>
      <c r="F192" s="57" t="s">
        <v>431</v>
      </c>
      <c r="G192" s="56">
        <v>240</v>
      </c>
      <c r="H192" s="57">
        <f>123.8-50.3</f>
        <v>73.5</v>
      </c>
      <c r="I192" s="57">
        <v>60.8</v>
      </c>
      <c r="J192" s="57">
        <v>60.8</v>
      </c>
      <c r="K192" s="60"/>
    </row>
    <row r="193" spans="2:11">
      <c r="B193" s="21" t="s">
        <v>132</v>
      </c>
      <c r="C193" s="5">
        <v>849</v>
      </c>
      <c r="D193" s="17" t="s">
        <v>155</v>
      </c>
      <c r="E193" s="17" t="s">
        <v>167</v>
      </c>
      <c r="F193" s="7" t="s">
        <v>168</v>
      </c>
      <c r="G193" s="7" t="s">
        <v>167</v>
      </c>
      <c r="H193" s="15">
        <f t="shared" ref="H193:J196" si="42">H194</f>
        <v>163.80000000000001</v>
      </c>
      <c r="I193" s="15">
        <f t="shared" si="42"/>
        <v>163.80000000000001</v>
      </c>
      <c r="J193" s="15">
        <f t="shared" si="42"/>
        <v>163.80000000000001</v>
      </c>
      <c r="K193" s="10"/>
    </row>
    <row r="194" spans="2:11">
      <c r="B194" s="20" t="s">
        <v>133</v>
      </c>
      <c r="C194" s="5">
        <v>849</v>
      </c>
      <c r="D194" s="17" t="s">
        <v>155</v>
      </c>
      <c r="E194" s="17" t="s">
        <v>155</v>
      </c>
      <c r="F194" s="7" t="s">
        <v>168</v>
      </c>
      <c r="G194" s="7" t="s">
        <v>167</v>
      </c>
      <c r="H194" s="7">
        <f t="shared" si="42"/>
        <v>163.80000000000001</v>
      </c>
      <c r="I194" s="7">
        <f t="shared" si="42"/>
        <v>163.80000000000001</v>
      </c>
      <c r="J194" s="7">
        <f t="shared" si="42"/>
        <v>163.80000000000001</v>
      </c>
      <c r="K194" s="10"/>
    </row>
    <row r="195" spans="2:11">
      <c r="B195" s="20" t="s">
        <v>298</v>
      </c>
      <c r="C195" s="5">
        <v>849</v>
      </c>
      <c r="D195" s="17" t="s">
        <v>155</v>
      </c>
      <c r="E195" s="17" t="s">
        <v>155</v>
      </c>
      <c r="F195" s="7" t="s">
        <v>299</v>
      </c>
      <c r="G195" s="7" t="s">
        <v>167</v>
      </c>
      <c r="H195" s="7">
        <f t="shared" si="42"/>
        <v>163.80000000000001</v>
      </c>
      <c r="I195" s="7">
        <f t="shared" si="42"/>
        <v>163.80000000000001</v>
      </c>
      <c r="J195" s="7">
        <f t="shared" si="42"/>
        <v>163.80000000000001</v>
      </c>
      <c r="K195" s="10"/>
    </row>
    <row r="196" spans="2:11">
      <c r="B196" s="20" t="s">
        <v>300</v>
      </c>
      <c r="C196" s="5">
        <v>849</v>
      </c>
      <c r="D196" s="17" t="s">
        <v>155</v>
      </c>
      <c r="E196" s="17" t="s">
        <v>155</v>
      </c>
      <c r="F196" s="7" t="s">
        <v>301</v>
      </c>
      <c r="G196" s="7" t="s">
        <v>167</v>
      </c>
      <c r="H196" s="7">
        <f t="shared" si="42"/>
        <v>163.80000000000001</v>
      </c>
      <c r="I196" s="7">
        <f t="shared" si="42"/>
        <v>163.80000000000001</v>
      </c>
      <c r="J196" s="7">
        <f t="shared" si="42"/>
        <v>163.80000000000001</v>
      </c>
      <c r="K196" s="10"/>
    </row>
    <row r="197" spans="2:11">
      <c r="B197" s="20" t="s">
        <v>302</v>
      </c>
      <c r="C197" s="5">
        <v>849</v>
      </c>
      <c r="D197" s="17" t="s">
        <v>155</v>
      </c>
      <c r="E197" s="17" t="s">
        <v>155</v>
      </c>
      <c r="F197" s="7" t="s">
        <v>301</v>
      </c>
      <c r="G197" s="7" t="s">
        <v>303</v>
      </c>
      <c r="H197" s="7">
        <v>163.80000000000001</v>
      </c>
      <c r="I197" s="7">
        <v>163.80000000000001</v>
      </c>
      <c r="J197" s="7">
        <v>163.80000000000001</v>
      </c>
      <c r="K197" s="10"/>
    </row>
    <row r="198" spans="2:11">
      <c r="B198" s="21" t="s">
        <v>134</v>
      </c>
      <c r="C198" s="5">
        <v>849</v>
      </c>
      <c r="D198" s="17" t="s">
        <v>150</v>
      </c>
      <c r="E198" s="17" t="s">
        <v>167</v>
      </c>
      <c r="F198" s="7" t="s">
        <v>168</v>
      </c>
      <c r="G198" s="7" t="s">
        <v>167</v>
      </c>
      <c r="H198" s="15">
        <f>H199+H213</f>
        <v>9787.6999999999989</v>
      </c>
      <c r="I198" s="15">
        <f t="shared" ref="I198:J198" si="43">I199+I213</f>
        <v>9379.7999999999993</v>
      </c>
      <c r="J198" s="15">
        <f t="shared" si="43"/>
        <v>9379.7999999999993</v>
      </c>
      <c r="K198" s="10"/>
    </row>
    <row r="199" spans="2:11">
      <c r="B199" s="20" t="s">
        <v>135</v>
      </c>
      <c r="C199" s="5">
        <v>849</v>
      </c>
      <c r="D199" s="17" t="s">
        <v>150</v>
      </c>
      <c r="E199" s="17" t="s">
        <v>143</v>
      </c>
      <c r="F199" s="7" t="s">
        <v>168</v>
      </c>
      <c r="G199" s="7" t="s">
        <v>167</v>
      </c>
      <c r="H199" s="7">
        <f>SUM(H200,H204)</f>
        <v>9542.4</v>
      </c>
      <c r="I199" s="7">
        <f>SUM(I200,I204)</f>
        <v>9379.7999999999993</v>
      </c>
      <c r="J199" s="7">
        <f>SUM(J200,J204)</f>
        <v>9379.7999999999993</v>
      </c>
      <c r="K199" s="10"/>
    </row>
    <row r="200" spans="2:11">
      <c r="B200" s="20" t="s">
        <v>96</v>
      </c>
      <c r="C200" s="5">
        <v>849</v>
      </c>
      <c r="D200" s="17" t="s">
        <v>150</v>
      </c>
      <c r="E200" s="17" t="s">
        <v>143</v>
      </c>
      <c r="F200" s="7" t="s">
        <v>182</v>
      </c>
      <c r="G200" s="7" t="s">
        <v>167</v>
      </c>
      <c r="H200" s="7">
        <f t="shared" ref="H200:J202" si="44">H201</f>
        <v>1800</v>
      </c>
      <c r="I200" s="7">
        <f t="shared" si="44"/>
        <v>1800</v>
      </c>
      <c r="J200" s="7">
        <f t="shared" si="44"/>
        <v>1800</v>
      </c>
      <c r="K200" s="10"/>
    </row>
    <row r="201" spans="2:11" ht="31.5" customHeight="1">
      <c r="B201" s="20" t="s">
        <v>158</v>
      </c>
      <c r="C201" s="5">
        <v>849</v>
      </c>
      <c r="D201" s="17" t="s">
        <v>150</v>
      </c>
      <c r="E201" s="17" t="s">
        <v>143</v>
      </c>
      <c r="F201" s="7" t="s">
        <v>304</v>
      </c>
      <c r="G201" s="7" t="s">
        <v>167</v>
      </c>
      <c r="H201" s="7">
        <f t="shared" si="44"/>
        <v>1800</v>
      </c>
      <c r="I201" s="7">
        <f t="shared" si="44"/>
        <v>1800</v>
      </c>
      <c r="J201" s="7">
        <f t="shared" si="44"/>
        <v>1800</v>
      </c>
      <c r="K201" s="10"/>
    </row>
    <row r="202" spans="2:11" ht="47.25">
      <c r="B202" s="20" t="s">
        <v>184</v>
      </c>
      <c r="C202" s="5">
        <v>849</v>
      </c>
      <c r="D202" s="17" t="s">
        <v>150</v>
      </c>
      <c r="E202" s="17" t="s">
        <v>143</v>
      </c>
      <c r="F202" s="7" t="s">
        <v>306</v>
      </c>
      <c r="G202" s="7" t="s">
        <v>167</v>
      </c>
      <c r="H202" s="7">
        <f t="shared" si="44"/>
        <v>1800</v>
      </c>
      <c r="I202" s="7">
        <f t="shared" si="44"/>
        <v>1800</v>
      </c>
      <c r="J202" s="7">
        <f t="shared" si="44"/>
        <v>1800</v>
      </c>
      <c r="K202" s="10"/>
    </row>
    <row r="203" spans="2:11">
      <c r="B203" s="20" t="s">
        <v>186</v>
      </c>
      <c r="C203" s="5">
        <v>849</v>
      </c>
      <c r="D203" s="17" t="s">
        <v>150</v>
      </c>
      <c r="E203" s="17" t="s">
        <v>143</v>
      </c>
      <c r="F203" s="7" t="s">
        <v>306</v>
      </c>
      <c r="G203" s="7" t="s">
        <v>187</v>
      </c>
      <c r="H203" s="7">
        <v>1800</v>
      </c>
      <c r="I203" s="7">
        <v>1800</v>
      </c>
      <c r="J203" s="7">
        <v>1800</v>
      </c>
      <c r="K203" s="10"/>
    </row>
    <row r="204" spans="2:11">
      <c r="B204" s="16" t="s">
        <v>307</v>
      </c>
      <c r="C204" s="5">
        <v>849</v>
      </c>
      <c r="D204" s="17" t="s">
        <v>150</v>
      </c>
      <c r="E204" s="17" t="s">
        <v>143</v>
      </c>
      <c r="F204" s="7" t="s">
        <v>308</v>
      </c>
      <c r="G204" s="7" t="s">
        <v>167</v>
      </c>
      <c r="H204" s="7">
        <f>SUM(H205,H207,H209,H211)</f>
        <v>7742.4</v>
      </c>
      <c r="I204" s="7">
        <f>SUM(I205,I207)</f>
        <v>7579.7999999999993</v>
      </c>
      <c r="J204" s="7">
        <f>SUM(J205,J207)</f>
        <v>7579.8</v>
      </c>
      <c r="K204" s="10"/>
    </row>
    <row r="205" spans="2:11">
      <c r="B205" s="20" t="s">
        <v>309</v>
      </c>
      <c r="C205" s="5">
        <v>849</v>
      </c>
      <c r="D205" s="17" t="s">
        <v>150</v>
      </c>
      <c r="E205" s="17" t="s">
        <v>143</v>
      </c>
      <c r="F205" s="7" t="s">
        <v>310</v>
      </c>
      <c r="G205" s="7" t="s">
        <v>167</v>
      </c>
      <c r="H205" s="7">
        <f>H206</f>
        <v>4500.5</v>
      </c>
      <c r="I205" s="7">
        <f>I206</f>
        <v>4173.3999999999996</v>
      </c>
      <c r="J205" s="7">
        <f>J206</f>
        <v>3801.5</v>
      </c>
      <c r="K205" s="10"/>
    </row>
    <row r="206" spans="2:11">
      <c r="B206" s="20" t="s">
        <v>302</v>
      </c>
      <c r="C206" s="5">
        <v>849</v>
      </c>
      <c r="D206" s="17" t="s">
        <v>150</v>
      </c>
      <c r="E206" s="17" t="s">
        <v>143</v>
      </c>
      <c r="F206" s="7" t="s">
        <v>310</v>
      </c>
      <c r="G206" s="7" t="s">
        <v>303</v>
      </c>
      <c r="H206" s="7">
        <f>3778.2+722.3</f>
        <v>4500.5</v>
      </c>
      <c r="I206" s="7">
        <v>4173.3999999999996</v>
      </c>
      <c r="J206" s="7">
        <v>3801.5</v>
      </c>
      <c r="K206" s="10"/>
    </row>
    <row r="207" spans="2:11" ht="47.25">
      <c r="B207" s="20" t="s">
        <v>311</v>
      </c>
      <c r="C207" s="5">
        <v>849</v>
      </c>
      <c r="D207" s="17" t="s">
        <v>150</v>
      </c>
      <c r="E207" s="17" t="s">
        <v>143</v>
      </c>
      <c r="F207" s="7" t="s">
        <v>312</v>
      </c>
      <c r="G207" s="7" t="s">
        <v>167</v>
      </c>
      <c r="H207" s="7">
        <f>H208</f>
        <v>3027.9</v>
      </c>
      <c r="I207" s="7">
        <f>I208</f>
        <v>3406.4</v>
      </c>
      <c r="J207" s="7">
        <f>J208</f>
        <v>3778.3</v>
      </c>
      <c r="K207" s="10"/>
    </row>
    <row r="208" spans="2:11">
      <c r="B208" s="20" t="s">
        <v>302</v>
      </c>
      <c r="C208" s="5">
        <v>849</v>
      </c>
      <c r="D208" s="17" t="s">
        <v>150</v>
      </c>
      <c r="E208" s="17" t="s">
        <v>143</v>
      </c>
      <c r="F208" s="7" t="s">
        <v>312</v>
      </c>
      <c r="G208" s="7" t="s">
        <v>303</v>
      </c>
      <c r="H208" s="7">
        <v>3027.9</v>
      </c>
      <c r="I208" s="7">
        <v>3406.4</v>
      </c>
      <c r="J208" s="7">
        <v>3778.3</v>
      </c>
      <c r="K208" s="10"/>
    </row>
    <row r="209" spans="2:11" ht="31.5">
      <c r="B209" s="20" t="s">
        <v>377</v>
      </c>
      <c r="C209" s="5">
        <v>849</v>
      </c>
      <c r="D209" s="17" t="s">
        <v>150</v>
      </c>
      <c r="E209" s="17" t="s">
        <v>143</v>
      </c>
      <c r="F209" s="7" t="s">
        <v>392</v>
      </c>
      <c r="G209" s="7"/>
      <c r="H209" s="7">
        <f>H210</f>
        <v>64.200000000000045</v>
      </c>
      <c r="I209" s="7">
        <f t="shared" ref="I209:J209" si="45">I210</f>
        <v>0</v>
      </c>
      <c r="J209" s="7">
        <f t="shared" si="45"/>
        <v>0</v>
      </c>
      <c r="K209" s="10"/>
    </row>
    <row r="210" spans="2:11" ht="34.5" customHeight="1">
      <c r="B210" s="20" t="s">
        <v>175</v>
      </c>
      <c r="C210" s="5">
        <v>849</v>
      </c>
      <c r="D210" s="17" t="s">
        <v>150</v>
      </c>
      <c r="E210" s="17" t="s">
        <v>143</v>
      </c>
      <c r="F210" s="7" t="s">
        <v>392</v>
      </c>
      <c r="G210" s="17">
        <v>610</v>
      </c>
      <c r="H210" s="7">
        <f>773.7-709.5</f>
        <v>64.200000000000045</v>
      </c>
      <c r="I210" s="7">
        <v>0</v>
      </c>
      <c r="J210" s="7">
        <v>0</v>
      </c>
      <c r="K210" s="10"/>
    </row>
    <row r="211" spans="2:11" ht="34.5" customHeight="1">
      <c r="B211" s="34" t="s">
        <v>437</v>
      </c>
      <c r="C211" s="5">
        <v>849</v>
      </c>
      <c r="D211" s="17" t="s">
        <v>150</v>
      </c>
      <c r="E211" s="17" t="s">
        <v>143</v>
      </c>
      <c r="F211" s="7" t="s">
        <v>445</v>
      </c>
      <c r="G211" s="17"/>
      <c r="H211" s="7">
        <f>H212</f>
        <v>149.80000000000001</v>
      </c>
      <c r="I211" s="7">
        <f t="shared" ref="I211:J211" si="46">I212</f>
        <v>0</v>
      </c>
      <c r="J211" s="7">
        <f t="shared" si="46"/>
        <v>0</v>
      </c>
      <c r="K211" s="10"/>
    </row>
    <row r="212" spans="2:11" ht="34.5" customHeight="1">
      <c r="B212" s="34" t="s">
        <v>175</v>
      </c>
      <c r="C212" s="5">
        <v>849</v>
      </c>
      <c r="D212" s="17" t="s">
        <v>150</v>
      </c>
      <c r="E212" s="17" t="s">
        <v>143</v>
      </c>
      <c r="F212" s="7" t="s">
        <v>445</v>
      </c>
      <c r="G212" s="17" t="s">
        <v>303</v>
      </c>
      <c r="H212" s="7">
        <v>149.80000000000001</v>
      </c>
      <c r="I212" s="7">
        <v>0</v>
      </c>
      <c r="J212" s="7">
        <v>0</v>
      </c>
      <c r="K212" s="10"/>
    </row>
    <row r="213" spans="2:11" ht="31.5">
      <c r="B213" s="21" t="s">
        <v>378</v>
      </c>
      <c r="C213" s="5">
        <v>849</v>
      </c>
      <c r="D213" s="17" t="s">
        <v>150</v>
      </c>
      <c r="E213" s="17" t="s">
        <v>145</v>
      </c>
      <c r="F213" s="7"/>
      <c r="G213" s="7"/>
      <c r="H213" s="7">
        <f>H214</f>
        <v>245.29999999999998</v>
      </c>
      <c r="I213" s="7">
        <f t="shared" ref="I213:J214" si="47">I214</f>
        <v>0</v>
      </c>
      <c r="J213" s="7">
        <f t="shared" si="47"/>
        <v>0</v>
      </c>
      <c r="K213" s="10"/>
    </row>
    <row r="214" spans="2:11">
      <c r="B214" s="20" t="s">
        <v>379</v>
      </c>
      <c r="C214" s="5">
        <v>849</v>
      </c>
      <c r="D214" s="17" t="s">
        <v>150</v>
      </c>
      <c r="E214" s="17" t="s">
        <v>145</v>
      </c>
      <c r="F214" s="7" t="s">
        <v>380</v>
      </c>
      <c r="G214" s="7"/>
      <c r="H214" s="7">
        <f>H215+H217</f>
        <v>245.29999999999998</v>
      </c>
      <c r="I214" s="7">
        <f t="shared" si="47"/>
        <v>0</v>
      </c>
      <c r="J214" s="7">
        <f t="shared" si="47"/>
        <v>0</v>
      </c>
      <c r="K214" s="10"/>
    </row>
    <row r="215" spans="2:11" ht="31.5">
      <c r="B215" s="20" t="s">
        <v>377</v>
      </c>
      <c r="C215" s="5">
        <v>849</v>
      </c>
      <c r="D215" s="17" t="s">
        <v>150</v>
      </c>
      <c r="E215" s="17" t="s">
        <v>145</v>
      </c>
      <c r="F215" s="7" t="s">
        <v>381</v>
      </c>
      <c r="G215" s="17"/>
      <c r="H215" s="7">
        <f>H216</f>
        <v>73.599999999999994</v>
      </c>
      <c r="I215" s="7">
        <f>I216</f>
        <v>0</v>
      </c>
      <c r="J215" s="7">
        <f>J216</f>
        <v>0</v>
      </c>
      <c r="K215" s="10"/>
    </row>
    <row r="216" spans="2:11" ht="35.25" customHeight="1">
      <c r="B216" s="20" t="s">
        <v>175</v>
      </c>
      <c r="C216" s="5">
        <v>849</v>
      </c>
      <c r="D216" s="17" t="s">
        <v>150</v>
      </c>
      <c r="E216" s="17" t="s">
        <v>145</v>
      </c>
      <c r="F216" s="7" t="s">
        <v>381</v>
      </c>
      <c r="G216" s="7" t="s">
        <v>176</v>
      </c>
      <c r="H216" s="7">
        <f>58.9+14.7</f>
        <v>73.599999999999994</v>
      </c>
      <c r="I216" s="7">
        <v>0</v>
      </c>
      <c r="J216" s="7">
        <v>0</v>
      </c>
      <c r="K216" s="10"/>
    </row>
    <row r="217" spans="2:11" ht="35.25" customHeight="1">
      <c r="B217" s="34" t="s">
        <v>437</v>
      </c>
      <c r="C217" s="5">
        <v>849</v>
      </c>
      <c r="D217" s="17" t="s">
        <v>150</v>
      </c>
      <c r="E217" s="17" t="s">
        <v>145</v>
      </c>
      <c r="F217" s="7" t="s">
        <v>446</v>
      </c>
      <c r="G217" s="7"/>
      <c r="H217" s="7">
        <f>H218</f>
        <v>171.7</v>
      </c>
      <c r="I217" s="7">
        <f t="shared" ref="I217:J217" si="48">I218</f>
        <v>0</v>
      </c>
      <c r="J217" s="7">
        <f t="shared" si="48"/>
        <v>0</v>
      </c>
      <c r="K217" s="10"/>
    </row>
    <row r="218" spans="2:11" ht="35.25" customHeight="1">
      <c r="B218" s="34" t="s">
        <v>175</v>
      </c>
      <c r="C218" s="5">
        <v>849</v>
      </c>
      <c r="D218" s="17" t="s">
        <v>150</v>
      </c>
      <c r="E218" s="17" t="s">
        <v>145</v>
      </c>
      <c r="F218" s="7" t="s">
        <v>446</v>
      </c>
      <c r="G218" s="17">
        <v>240</v>
      </c>
      <c r="H218" s="7">
        <v>171.7</v>
      </c>
      <c r="I218" s="7">
        <v>0</v>
      </c>
      <c r="J218" s="7">
        <v>0</v>
      </c>
      <c r="K218" s="10"/>
    </row>
    <row r="219" spans="2:11">
      <c r="B219" s="21" t="s">
        <v>136</v>
      </c>
      <c r="C219" s="5">
        <v>849</v>
      </c>
      <c r="D219" s="17" t="s">
        <v>149</v>
      </c>
      <c r="E219" s="17" t="s">
        <v>167</v>
      </c>
      <c r="F219" s="7" t="s">
        <v>168</v>
      </c>
      <c r="G219" s="7" t="s">
        <v>167</v>
      </c>
      <c r="H219" s="15">
        <f t="shared" ref="H219:J222" si="49">H220</f>
        <v>267.7</v>
      </c>
      <c r="I219" s="15">
        <f t="shared" si="49"/>
        <v>267.7</v>
      </c>
      <c r="J219" s="15">
        <f t="shared" si="49"/>
        <v>267.7</v>
      </c>
      <c r="K219" s="10"/>
    </row>
    <row r="220" spans="2:11">
      <c r="B220" s="20" t="s">
        <v>137</v>
      </c>
      <c r="C220" s="5">
        <v>849</v>
      </c>
      <c r="D220" s="17" t="s">
        <v>149</v>
      </c>
      <c r="E220" s="17" t="s">
        <v>143</v>
      </c>
      <c r="F220" s="7" t="s">
        <v>168</v>
      </c>
      <c r="G220" s="7" t="s">
        <v>167</v>
      </c>
      <c r="H220" s="7">
        <f t="shared" si="49"/>
        <v>267.7</v>
      </c>
      <c r="I220" s="7">
        <f t="shared" si="49"/>
        <v>267.7</v>
      </c>
      <c r="J220" s="7">
        <f t="shared" si="49"/>
        <v>267.7</v>
      </c>
      <c r="K220" s="10"/>
    </row>
    <row r="221" spans="2:11">
      <c r="B221" s="20" t="s">
        <v>313</v>
      </c>
      <c r="C221" s="5">
        <v>849</v>
      </c>
      <c r="D221" s="17" t="s">
        <v>149</v>
      </c>
      <c r="E221" s="17" t="s">
        <v>143</v>
      </c>
      <c r="F221" s="7" t="s">
        <v>314</v>
      </c>
      <c r="G221" s="7" t="s">
        <v>167</v>
      </c>
      <c r="H221" s="7">
        <f t="shared" si="49"/>
        <v>267.7</v>
      </c>
      <c r="I221" s="7">
        <f t="shared" si="49"/>
        <v>267.7</v>
      </c>
      <c r="J221" s="7">
        <f t="shared" si="49"/>
        <v>267.7</v>
      </c>
      <c r="K221" s="10"/>
    </row>
    <row r="222" spans="2:11">
      <c r="B222" s="20" t="s">
        <v>315</v>
      </c>
      <c r="C222" s="5">
        <v>849</v>
      </c>
      <c r="D222" s="17" t="s">
        <v>149</v>
      </c>
      <c r="E222" s="17" t="s">
        <v>143</v>
      </c>
      <c r="F222" s="7" t="s">
        <v>316</v>
      </c>
      <c r="G222" s="7" t="s">
        <v>167</v>
      </c>
      <c r="H222" s="7">
        <f t="shared" si="49"/>
        <v>267.7</v>
      </c>
      <c r="I222" s="7">
        <f t="shared" si="49"/>
        <v>267.7</v>
      </c>
      <c r="J222" s="7">
        <f t="shared" si="49"/>
        <v>267.7</v>
      </c>
      <c r="K222" s="10"/>
    </row>
    <row r="223" spans="2:11">
      <c r="B223" s="20" t="s">
        <v>317</v>
      </c>
      <c r="C223" s="5">
        <v>849</v>
      </c>
      <c r="D223" s="17" t="s">
        <v>149</v>
      </c>
      <c r="E223" s="17" t="s">
        <v>143</v>
      </c>
      <c r="F223" s="7" t="s">
        <v>316</v>
      </c>
      <c r="G223" s="7" t="s">
        <v>318</v>
      </c>
      <c r="H223" s="7">
        <v>267.7</v>
      </c>
      <c r="I223" s="7">
        <v>267.7</v>
      </c>
      <c r="J223" s="7">
        <v>267.7</v>
      </c>
      <c r="K223" s="10"/>
    </row>
    <row r="224" spans="2:11">
      <c r="B224" s="21" t="s">
        <v>138</v>
      </c>
      <c r="C224" s="5">
        <v>849</v>
      </c>
      <c r="D224" s="17" t="s">
        <v>147</v>
      </c>
      <c r="E224" s="17" t="s">
        <v>167</v>
      </c>
      <c r="F224" s="7" t="s">
        <v>168</v>
      </c>
      <c r="G224" s="7" t="s">
        <v>167</v>
      </c>
      <c r="H224" s="15">
        <f t="shared" ref="H224:J228" si="50">H225</f>
        <v>1816.3</v>
      </c>
      <c r="I224" s="15">
        <f t="shared" si="50"/>
        <v>1816.3</v>
      </c>
      <c r="J224" s="15">
        <f t="shared" si="50"/>
        <v>1816.3</v>
      </c>
      <c r="K224" s="10"/>
    </row>
    <row r="225" spans="2:11">
      <c r="B225" s="20" t="s">
        <v>139</v>
      </c>
      <c r="C225" s="5">
        <v>849</v>
      </c>
      <c r="D225" s="17" t="s">
        <v>147</v>
      </c>
      <c r="E225" s="17" t="s">
        <v>143</v>
      </c>
      <c r="F225" s="7" t="s">
        <v>168</v>
      </c>
      <c r="G225" s="7" t="s">
        <v>167</v>
      </c>
      <c r="H225" s="7">
        <f t="shared" si="50"/>
        <v>1816.3</v>
      </c>
      <c r="I225" s="7">
        <f t="shared" si="50"/>
        <v>1816.3</v>
      </c>
      <c r="J225" s="7">
        <f t="shared" si="50"/>
        <v>1816.3</v>
      </c>
      <c r="K225" s="10"/>
    </row>
    <row r="226" spans="2:11">
      <c r="B226" s="20" t="s">
        <v>96</v>
      </c>
      <c r="C226" s="5">
        <v>849</v>
      </c>
      <c r="D226" s="17" t="s">
        <v>147</v>
      </c>
      <c r="E226" s="17" t="s">
        <v>143</v>
      </c>
      <c r="F226" s="7" t="s">
        <v>182</v>
      </c>
      <c r="G226" s="7" t="s">
        <v>167</v>
      </c>
      <c r="H226" s="7">
        <f t="shared" si="50"/>
        <v>1816.3</v>
      </c>
      <c r="I226" s="7">
        <f t="shared" si="50"/>
        <v>1816.3</v>
      </c>
      <c r="J226" s="7">
        <f t="shared" si="50"/>
        <v>1816.3</v>
      </c>
      <c r="K226" s="10"/>
    </row>
    <row r="227" spans="2:11" ht="31.5" customHeight="1">
      <c r="B227" s="20" t="s">
        <v>160</v>
      </c>
      <c r="C227" s="5">
        <v>849</v>
      </c>
      <c r="D227" s="17" t="s">
        <v>147</v>
      </c>
      <c r="E227" s="17" t="s">
        <v>143</v>
      </c>
      <c r="F227" s="7" t="s">
        <v>188</v>
      </c>
      <c r="G227" s="7" t="s">
        <v>167</v>
      </c>
      <c r="H227" s="7">
        <f t="shared" si="50"/>
        <v>1816.3</v>
      </c>
      <c r="I227" s="7">
        <f t="shared" si="50"/>
        <v>1816.3</v>
      </c>
      <c r="J227" s="7">
        <f t="shared" si="50"/>
        <v>1816.3</v>
      </c>
      <c r="K227" s="10"/>
    </row>
    <row r="228" spans="2:11" ht="47.25">
      <c r="B228" s="20" t="s">
        <v>184</v>
      </c>
      <c r="C228" s="5">
        <v>849</v>
      </c>
      <c r="D228" s="17" t="s">
        <v>147</v>
      </c>
      <c r="E228" s="17" t="s">
        <v>143</v>
      </c>
      <c r="F228" s="7" t="s">
        <v>189</v>
      </c>
      <c r="G228" s="7" t="s">
        <v>167</v>
      </c>
      <c r="H228" s="7">
        <f t="shared" si="50"/>
        <v>1816.3</v>
      </c>
      <c r="I228" s="7">
        <f t="shared" si="50"/>
        <v>1816.3</v>
      </c>
      <c r="J228" s="7">
        <f t="shared" si="50"/>
        <v>1816.3</v>
      </c>
      <c r="K228" s="10"/>
    </row>
    <row r="229" spans="2:11">
      <c r="B229" s="20" t="s">
        <v>186</v>
      </c>
      <c r="C229" s="5">
        <v>849</v>
      </c>
      <c r="D229" s="17" t="s">
        <v>147</v>
      </c>
      <c r="E229" s="17" t="s">
        <v>143</v>
      </c>
      <c r="F229" s="7" t="s">
        <v>189</v>
      </c>
      <c r="G229" s="7" t="s">
        <v>187</v>
      </c>
      <c r="H229" s="7">
        <v>1816.3</v>
      </c>
      <c r="I229" s="7">
        <v>1816.3</v>
      </c>
      <c r="J229" s="7">
        <v>1816.3</v>
      </c>
      <c r="K229" s="10"/>
    </row>
    <row r="230" spans="2:11" ht="31.5">
      <c r="B230" s="21" t="s">
        <v>335</v>
      </c>
      <c r="C230" s="27">
        <v>962</v>
      </c>
      <c r="D230" s="17"/>
      <c r="E230" s="17"/>
      <c r="F230" s="7"/>
      <c r="G230" s="7"/>
      <c r="H230" s="15">
        <f>SUM(H231,H246)</f>
        <v>1569.8000000000002</v>
      </c>
      <c r="I230" s="15">
        <f>SUM(I231,I246)</f>
        <v>1550.6</v>
      </c>
      <c r="J230" s="15">
        <f>SUM(J231,J246)</f>
        <v>1550.6</v>
      </c>
      <c r="K230" s="10"/>
    </row>
    <row r="231" spans="2:11">
      <c r="B231" s="21" t="s">
        <v>108</v>
      </c>
      <c r="C231" s="5">
        <v>962</v>
      </c>
      <c r="D231" s="17" t="s">
        <v>143</v>
      </c>
      <c r="E231" s="17" t="s">
        <v>167</v>
      </c>
      <c r="F231" s="7" t="s">
        <v>168</v>
      </c>
      <c r="G231" s="7" t="s">
        <v>167</v>
      </c>
      <c r="H231" s="7">
        <f>SUM(H232,H241)</f>
        <v>1529.8000000000002</v>
      </c>
      <c r="I231" s="7">
        <f>SUM(I232,I241)</f>
        <v>1500.6</v>
      </c>
      <c r="J231" s="7">
        <f>SUM(J232,J241)</f>
        <v>1500.6</v>
      </c>
      <c r="K231" s="10"/>
    </row>
    <row r="232" spans="2:11" ht="47.25" customHeight="1">
      <c r="B232" s="20" t="s">
        <v>109</v>
      </c>
      <c r="C232" s="5">
        <v>962</v>
      </c>
      <c r="D232" s="17" t="s">
        <v>143</v>
      </c>
      <c r="E232" s="17" t="s">
        <v>144</v>
      </c>
      <c r="F232" s="7" t="s">
        <v>168</v>
      </c>
      <c r="G232" s="7" t="s">
        <v>167</v>
      </c>
      <c r="H232" s="15">
        <f>H233</f>
        <v>1163.4000000000001</v>
      </c>
      <c r="I232" s="15">
        <f>I233</f>
        <v>1134.2</v>
      </c>
      <c r="J232" s="15">
        <f>J233</f>
        <v>1134.2</v>
      </c>
      <c r="K232" s="10"/>
    </row>
    <row r="233" spans="2:11" ht="31.5">
      <c r="B233" s="20" t="s">
        <v>169</v>
      </c>
      <c r="C233" s="5">
        <v>962</v>
      </c>
      <c r="D233" s="17" t="s">
        <v>143</v>
      </c>
      <c r="E233" s="17" t="s">
        <v>144</v>
      </c>
      <c r="F233" s="7" t="s">
        <v>170</v>
      </c>
      <c r="G233" s="7" t="s">
        <v>167</v>
      </c>
      <c r="H233" s="7">
        <f>SUM(H234,H237,H239)</f>
        <v>1163.4000000000001</v>
      </c>
      <c r="I233" s="7">
        <f t="shared" ref="I233:J233" si="51">SUM(I234,I237,I239)</f>
        <v>1134.2</v>
      </c>
      <c r="J233" s="7">
        <f t="shared" si="51"/>
        <v>1134.2</v>
      </c>
      <c r="K233" s="10"/>
    </row>
    <row r="234" spans="2:11" ht="31.5">
      <c r="B234" s="20" t="s">
        <v>171</v>
      </c>
      <c r="C234" s="5">
        <v>962</v>
      </c>
      <c r="D234" s="17" t="s">
        <v>143</v>
      </c>
      <c r="E234" s="17" t="s">
        <v>144</v>
      </c>
      <c r="F234" s="7" t="s">
        <v>172</v>
      </c>
      <c r="G234" s="7" t="s">
        <v>167</v>
      </c>
      <c r="H234" s="7">
        <f>SUM(H235:H236)</f>
        <v>525.9</v>
      </c>
      <c r="I234" s="7">
        <f>SUM(I235:I236)</f>
        <v>496.7</v>
      </c>
      <c r="J234" s="7">
        <f>SUM(J235:J236)</f>
        <v>496.70000000000005</v>
      </c>
      <c r="K234" s="10"/>
    </row>
    <row r="235" spans="2:11" ht="31.5">
      <c r="B235" s="20" t="s">
        <v>173</v>
      </c>
      <c r="C235" s="5">
        <v>962</v>
      </c>
      <c r="D235" s="17" t="s">
        <v>143</v>
      </c>
      <c r="E235" s="17" t="s">
        <v>144</v>
      </c>
      <c r="F235" s="7" t="s">
        <v>172</v>
      </c>
      <c r="G235" s="7" t="s">
        <v>174</v>
      </c>
      <c r="H235" s="7">
        <f>407.7+40.8</f>
        <v>448.5</v>
      </c>
      <c r="I235" s="7">
        <v>407.7</v>
      </c>
      <c r="J235" s="7">
        <v>407.70000000000005</v>
      </c>
      <c r="K235" s="10"/>
    </row>
    <row r="236" spans="2:11" ht="31.5" customHeight="1">
      <c r="B236" s="20" t="s">
        <v>175</v>
      </c>
      <c r="C236" s="5">
        <v>962</v>
      </c>
      <c r="D236" s="17" t="s">
        <v>143</v>
      </c>
      <c r="E236" s="17" t="s">
        <v>144</v>
      </c>
      <c r="F236" s="7" t="s">
        <v>172</v>
      </c>
      <c r="G236" s="7" t="s">
        <v>176</v>
      </c>
      <c r="H236" s="7">
        <f>89-11.6</f>
        <v>77.400000000000006</v>
      </c>
      <c r="I236" s="7">
        <v>89</v>
      </c>
      <c r="J236" s="7">
        <v>89</v>
      </c>
      <c r="K236" s="10"/>
    </row>
    <row r="237" spans="2:11" ht="47.25" hidden="1" customHeight="1">
      <c r="B237" s="20" t="s">
        <v>177</v>
      </c>
      <c r="C237" s="5">
        <v>962</v>
      </c>
      <c r="D237" s="17" t="s">
        <v>143</v>
      </c>
      <c r="E237" s="17" t="s">
        <v>144</v>
      </c>
      <c r="F237" s="7" t="s">
        <v>178</v>
      </c>
      <c r="G237" s="7" t="s">
        <v>167</v>
      </c>
      <c r="H237" s="7">
        <f>H238</f>
        <v>0</v>
      </c>
      <c r="I237" s="7"/>
      <c r="J237" s="7">
        <f>J238</f>
        <v>0</v>
      </c>
      <c r="K237" s="10"/>
    </row>
    <row r="238" spans="2:11" ht="31.5" hidden="1" customHeight="1">
      <c r="B238" s="20" t="s">
        <v>173</v>
      </c>
      <c r="C238" s="5">
        <v>962</v>
      </c>
      <c r="D238" s="17" t="s">
        <v>143</v>
      </c>
      <c r="E238" s="17" t="s">
        <v>144</v>
      </c>
      <c r="F238" s="7" t="s">
        <v>178</v>
      </c>
      <c r="G238" s="7" t="s">
        <v>174</v>
      </c>
      <c r="H238" s="7"/>
      <c r="I238" s="7"/>
      <c r="J238" s="7"/>
      <c r="K238" s="10"/>
    </row>
    <row r="239" spans="2:11" ht="31.5" customHeight="1">
      <c r="B239" s="20" t="s">
        <v>177</v>
      </c>
      <c r="C239" s="5">
        <v>962</v>
      </c>
      <c r="D239" s="17" t="s">
        <v>143</v>
      </c>
      <c r="E239" s="17" t="s">
        <v>144</v>
      </c>
      <c r="F239" s="7" t="s">
        <v>178</v>
      </c>
      <c r="G239" s="7" t="s">
        <v>167</v>
      </c>
      <c r="H239" s="7">
        <f>H240</f>
        <v>637.5</v>
      </c>
      <c r="I239" s="7">
        <f t="shared" ref="I239:J239" si="52">I240</f>
        <v>637.5</v>
      </c>
      <c r="J239" s="7">
        <f t="shared" si="52"/>
        <v>637.5</v>
      </c>
      <c r="K239" s="10"/>
    </row>
    <row r="240" spans="2:11" ht="31.5" customHeight="1">
      <c r="B240" s="20" t="s">
        <v>173</v>
      </c>
      <c r="C240" s="5">
        <v>962</v>
      </c>
      <c r="D240" s="17" t="s">
        <v>143</v>
      </c>
      <c r="E240" s="17" t="s">
        <v>144</v>
      </c>
      <c r="F240" s="7" t="s">
        <v>178</v>
      </c>
      <c r="G240" s="7" t="s">
        <v>174</v>
      </c>
      <c r="H240" s="7">
        <v>637.5</v>
      </c>
      <c r="I240" s="7">
        <v>637.5</v>
      </c>
      <c r="J240" s="7">
        <v>637.5</v>
      </c>
      <c r="K240" s="10"/>
    </row>
    <row r="241" spans="2:11" ht="47.25">
      <c r="B241" s="21" t="s">
        <v>116</v>
      </c>
      <c r="C241" s="5">
        <v>962</v>
      </c>
      <c r="D241" s="17" t="s">
        <v>143</v>
      </c>
      <c r="E241" s="17" t="s">
        <v>146</v>
      </c>
      <c r="F241" s="7" t="s">
        <v>168</v>
      </c>
      <c r="G241" s="7" t="s">
        <v>167</v>
      </c>
      <c r="H241" s="15">
        <f t="shared" ref="H241:J244" si="53">H242</f>
        <v>366.4</v>
      </c>
      <c r="I241" s="15">
        <f t="shared" si="53"/>
        <v>366.4</v>
      </c>
      <c r="J241" s="15">
        <f t="shared" si="53"/>
        <v>366.4</v>
      </c>
      <c r="K241" s="10"/>
    </row>
    <row r="242" spans="2:11">
      <c r="B242" s="20" t="s">
        <v>186</v>
      </c>
      <c r="C242" s="5">
        <v>962</v>
      </c>
      <c r="D242" s="17" t="s">
        <v>143</v>
      </c>
      <c r="E242" s="17" t="s">
        <v>146</v>
      </c>
      <c r="F242" s="7" t="s">
        <v>182</v>
      </c>
      <c r="G242" s="7" t="s">
        <v>167</v>
      </c>
      <c r="H242" s="7">
        <f t="shared" si="53"/>
        <v>366.4</v>
      </c>
      <c r="I242" s="7">
        <f t="shared" si="53"/>
        <v>366.4</v>
      </c>
      <c r="J242" s="7">
        <f t="shared" si="53"/>
        <v>366.4</v>
      </c>
      <c r="K242" s="10"/>
    </row>
    <row r="243" spans="2:11" ht="31.5" customHeight="1">
      <c r="B243" s="20" t="s">
        <v>118</v>
      </c>
      <c r="C243" s="5">
        <v>962</v>
      </c>
      <c r="D243" s="17" t="s">
        <v>143</v>
      </c>
      <c r="E243" s="17" t="s">
        <v>146</v>
      </c>
      <c r="F243" s="7" t="s">
        <v>205</v>
      </c>
      <c r="G243" s="7" t="s">
        <v>167</v>
      </c>
      <c r="H243" s="7">
        <f t="shared" si="53"/>
        <v>366.4</v>
      </c>
      <c r="I243" s="7">
        <f t="shared" si="53"/>
        <v>366.4</v>
      </c>
      <c r="J243" s="7">
        <f t="shared" si="53"/>
        <v>366.4</v>
      </c>
      <c r="K243" s="10"/>
    </row>
    <row r="244" spans="2:11" ht="47.25">
      <c r="B244" s="20" t="s">
        <v>184</v>
      </c>
      <c r="C244" s="5">
        <v>962</v>
      </c>
      <c r="D244" s="17" t="s">
        <v>143</v>
      </c>
      <c r="E244" s="17" t="s">
        <v>146</v>
      </c>
      <c r="F244" s="7" t="s">
        <v>206</v>
      </c>
      <c r="G244" s="7" t="s">
        <v>167</v>
      </c>
      <c r="H244" s="7">
        <f t="shared" si="53"/>
        <v>366.4</v>
      </c>
      <c r="I244" s="7">
        <f t="shared" si="53"/>
        <v>366.4</v>
      </c>
      <c r="J244" s="7">
        <f t="shared" si="53"/>
        <v>366.4</v>
      </c>
      <c r="K244" s="10"/>
    </row>
    <row r="245" spans="2:11">
      <c r="B245" s="20" t="s">
        <v>186</v>
      </c>
      <c r="C245" s="5">
        <v>962</v>
      </c>
      <c r="D245" s="17" t="s">
        <v>143</v>
      </c>
      <c r="E245" s="17" t="s">
        <v>146</v>
      </c>
      <c r="F245" s="7" t="s">
        <v>206</v>
      </c>
      <c r="G245" s="7" t="s">
        <v>187</v>
      </c>
      <c r="H245" s="7">
        <v>366.4</v>
      </c>
      <c r="I245" s="7">
        <v>366.4</v>
      </c>
      <c r="J245" s="7">
        <v>366.4</v>
      </c>
      <c r="K245" s="10"/>
    </row>
    <row r="246" spans="2:11">
      <c r="B246" s="21" t="s">
        <v>140</v>
      </c>
      <c r="C246" s="5">
        <v>962</v>
      </c>
      <c r="D246" s="17" t="s">
        <v>153</v>
      </c>
      <c r="E246" s="17" t="s">
        <v>167</v>
      </c>
      <c r="F246" s="7" t="s">
        <v>168</v>
      </c>
      <c r="G246" s="7" t="s">
        <v>167</v>
      </c>
      <c r="H246" s="15">
        <f t="shared" ref="H246:J249" si="54">H247</f>
        <v>40</v>
      </c>
      <c r="I246" s="15">
        <f t="shared" si="54"/>
        <v>50</v>
      </c>
      <c r="J246" s="15">
        <f t="shared" si="54"/>
        <v>50</v>
      </c>
      <c r="K246" s="10"/>
    </row>
    <row r="247" spans="2:11">
      <c r="B247" s="20" t="s">
        <v>141</v>
      </c>
      <c r="C247" s="5">
        <v>962</v>
      </c>
      <c r="D247" s="17" t="s">
        <v>153</v>
      </c>
      <c r="E247" s="17" t="s">
        <v>154</v>
      </c>
      <c r="F247" s="7" t="s">
        <v>168</v>
      </c>
      <c r="G247" s="7" t="s">
        <v>167</v>
      </c>
      <c r="H247" s="7">
        <f t="shared" si="54"/>
        <v>40</v>
      </c>
      <c r="I247" s="7">
        <f t="shared" si="54"/>
        <v>50</v>
      </c>
      <c r="J247" s="7">
        <f t="shared" si="54"/>
        <v>50</v>
      </c>
      <c r="K247" s="10"/>
    </row>
    <row r="248" spans="2:11">
      <c r="B248" s="20" t="s">
        <v>319</v>
      </c>
      <c r="C248" s="5">
        <v>962</v>
      </c>
      <c r="D248" s="17" t="s">
        <v>153</v>
      </c>
      <c r="E248" s="17" t="s">
        <v>154</v>
      </c>
      <c r="F248" s="7" t="s">
        <v>320</v>
      </c>
      <c r="G248" s="7" t="s">
        <v>167</v>
      </c>
      <c r="H248" s="7">
        <f t="shared" si="54"/>
        <v>40</v>
      </c>
      <c r="I248" s="7">
        <f t="shared" si="54"/>
        <v>50</v>
      </c>
      <c r="J248" s="7">
        <f t="shared" si="54"/>
        <v>50</v>
      </c>
      <c r="K248" s="10"/>
    </row>
    <row r="249" spans="2:11">
      <c r="B249" s="20" t="s">
        <v>321</v>
      </c>
      <c r="C249" s="5">
        <v>962</v>
      </c>
      <c r="D249" s="17" t="s">
        <v>153</v>
      </c>
      <c r="E249" s="17" t="s">
        <v>154</v>
      </c>
      <c r="F249" s="7" t="s">
        <v>322</v>
      </c>
      <c r="G249" s="7" t="s">
        <v>167</v>
      </c>
      <c r="H249" s="7">
        <f t="shared" si="54"/>
        <v>40</v>
      </c>
      <c r="I249" s="7">
        <f t="shared" si="54"/>
        <v>50</v>
      </c>
      <c r="J249" s="7">
        <f t="shared" si="54"/>
        <v>50</v>
      </c>
      <c r="K249" s="10"/>
    </row>
    <row r="250" spans="2:11" ht="31.5" customHeight="1">
      <c r="B250" s="20" t="s">
        <v>175</v>
      </c>
      <c r="C250" s="5">
        <v>962</v>
      </c>
      <c r="D250" s="17" t="s">
        <v>153</v>
      </c>
      <c r="E250" s="17" t="s">
        <v>154</v>
      </c>
      <c r="F250" s="7" t="s">
        <v>322</v>
      </c>
      <c r="G250" s="7" t="s">
        <v>176</v>
      </c>
      <c r="H250" s="7">
        <f>50-10</f>
        <v>40</v>
      </c>
      <c r="I250" s="7">
        <v>50</v>
      </c>
      <c r="J250" s="7">
        <v>50</v>
      </c>
      <c r="K250" s="10"/>
    </row>
    <row r="251" spans="2:11">
      <c r="B251" s="21" t="s">
        <v>142</v>
      </c>
      <c r="C251" s="5"/>
      <c r="D251" s="17"/>
      <c r="E251" s="17"/>
      <c r="F251" s="7"/>
      <c r="G251" s="7"/>
      <c r="H251" s="15">
        <f>SUM(H24,H230)</f>
        <v>254124.17300000001</v>
      </c>
      <c r="I251" s="15">
        <f>SUM(I24,I230)</f>
        <v>60953.1</v>
      </c>
      <c r="J251" s="15">
        <f>SUM(J24,J230)</f>
        <v>63615.700000000004</v>
      </c>
      <c r="K251" s="10"/>
    </row>
    <row r="252" spans="2:11">
      <c r="B252" s="19" t="s">
        <v>156</v>
      </c>
      <c r="C252" s="5"/>
      <c r="D252" s="17"/>
      <c r="E252" s="17"/>
      <c r="F252" s="7"/>
      <c r="G252" s="7"/>
      <c r="H252" s="30"/>
      <c r="I252" s="30">
        <f>ROUND(('2'!E22+'2'!E49)*2.5%,1)</f>
        <v>1512.5</v>
      </c>
      <c r="J252" s="30">
        <f>ROUND(('2'!F22+'2'!F49)*5%,1)</f>
        <v>3170.4</v>
      </c>
      <c r="K252" s="10"/>
    </row>
    <row r="253" spans="2:11">
      <c r="B253" s="21" t="s">
        <v>161</v>
      </c>
      <c r="C253" s="29"/>
      <c r="D253" s="17"/>
      <c r="E253" s="17"/>
      <c r="F253" s="7"/>
      <c r="G253" s="7"/>
      <c r="H253" s="15">
        <f>SUM(H251:H252)</f>
        <v>254124.17300000001</v>
      </c>
      <c r="I253" s="15">
        <f>SUM(I251:I252)</f>
        <v>62465.599999999999</v>
      </c>
      <c r="J253" s="15">
        <f>SUM(J251:J252)</f>
        <v>66786.100000000006</v>
      </c>
      <c r="K253" s="10"/>
    </row>
    <row r="255" spans="2:11">
      <c r="J255" s="10"/>
    </row>
    <row r="256" spans="2:11">
      <c r="H256" s="10"/>
      <c r="I256" s="10"/>
      <c r="J256" s="10"/>
    </row>
  </sheetData>
  <mergeCells count="6">
    <mergeCell ref="G21:G22"/>
    <mergeCell ref="B21:B22"/>
    <mergeCell ref="C21:C22"/>
    <mergeCell ref="D21:D22"/>
    <mergeCell ref="E21:E22"/>
    <mergeCell ref="F21:F22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view="pageBreakPreview" topLeftCell="B1" zoomScale="90" zoomScaleNormal="90" zoomScaleSheetLayoutView="90" workbookViewId="0">
      <selection activeCell="H43" sqref="H43"/>
    </sheetView>
  </sheetViews>
  <sheetFormatPr defaultColWidth="9.140625" defaultRowHeight="15.75"/>
  <cols>
    <col min="1" max="1" width="28.7109375" style="1" hidden="1" customWidth="1"/>
    <col min="2" max="2" width="58.5703125" style="1" customWidth="1"/>
    <col min="3" max="4" width="7.42578125" style="1" customWidth="1"/>
    <col min="5" max="5" width="14.42578125" style="1" customWidth="1"/>
    <col min="6" max="6" width="7.28515625" style="1" customWidth="1"/>
    <col min="7" max="9" width="15.28515625" style="1" customWidth="1"/>
    <col min="10" max="16384" width="9.140625" style="1"/>
  </cols>
  <sheetData>
    <row r="1" spans="2:9">
      <c r="I1" s="2" t="s">
        <v>331</v>
      </c>
    </row>
    <row r="2" spans="2:9">
      <c r="I2" s="2" t="str">
        <f>'1'!F2</f>
        <v>к решению Городского Совета</v>
      </c>
    </row>
    <row r="3" spans="2:9">
      <c r="I3" s="2" t="str">
        <f>'1'!F3</f>
        <v>муниципального образования "Город Вытегра"</v>
      </c>
    </row>
    <row r="4" spans="2:9">
      <c r="I4" s="2" t="str">
        <f>'1'!F4</f>
        <v>от 17.10.2024 года № 115</v>
      </c>
    </row>
    <row r="6" spans="2:9">
      <c r="I6" s="2" t="s">
        <v>331</v>
      </c>
    </row>
    <row r="7" spans="2:9">
      <c r="I7" s="2" t="str">
        <f>'1'!F7</f>
        <v>к решению Городского Совета</v>
      </c>
    </row>
    <row r="8" spans="2:9">
      <c r="I8" s="2" t="str">
        <f>'1'!F8</f>
        <v>муниципального образования "Город Вытегра"</v>
      </c>
    </row>
    <row r="9" spans="2:9">
      <c r="I9" s="2" t="str">
        <f>'1'!F9</f>
        <v>"О бюджете муниципального образования "Город Вытегра"</v>
      </c>
    </row>
    <row r="10" spans="2:9">
      <c r="I10" s="2" t="str">
        <f>'1'!F10</f>
        <v>на 2024 год и плановый период 2025 и 2026 годов"</v>
      </c>
    </row>
    <row r="11" spans="2:9">
      <c r="I11" s="2" t="str">
        <f>'1'!F11</f>
        <v>от 14 декабря 2023 года № 78</v>
      </c>
    </row>
    <row r="13" spans="2:9">
      <c r="B13" s="3" t="s">
        <v>104</v>
      </c>
      <c r="C13" s="3"/>
      <c r="D13" s="4"/>
      <c r="E13" s="4"/>
      <c r="F13" s="4"/>
      <c r="G13" s="4"/>
      <c r="H13" s="4"/>
      <c r="I13" s="4"/>
    </row>
    <row r="14" spans="2:9">
      <c r="B14" s="3" t="s">
        <v>337</v>
      </c>
      <c r="C14" s="3"/>
      <c r="D14" s="4"/>
      <c r="E14" s="4"/>
      <c r="F14" s="4"/>
      <c r="G14" s="4"/>
      <c r="H14" s="4"/>
      <c r="I14" s="4"/>
    </row>
    <row r="15" spans="2:9">
      <c r="B15" s="3" t="str">
        <f>справочник!A2</f>
        <v>НА 2024 ГОД И ПЛАНОВЫЙ ПЕРИОД 2025 И 2026 ГОДОВ</v>
      </c>
      <c r="C15" s="3"/>
      <c r="D15" s="4"/>
      <c r="E15" s="4"/>
      <c r="F15" s="4"/>
      <c r="G15" s="4"/>
      <c r="H15" s="4"/>
      <c r="I15" s="4"/>
    </row>
    <row r="16" spans="2:9">
      <c r="B16" s="3"/>
      <c r="C16" s="3"/>
      <c r="D16" s="4"/>
      <c r="E16" s="4"/>
      <c r="F16" s="4"/>
      <c r="G16" s="4"/>
      <c r="H16" s="4"/>
      <c r="I16" s="4"/>
    </row>
    <row r="17" spans="2:10">
      <c r="I17" s="2" t="s">
        <v>7</v>
      </c>
    </row>
    <row r="18" spans="2:10">
      <c r="B18" s="73" t="s">
        <v>107</v>
      </c>
      <c r="C18" s="72" t="s">
        <v>327</v>
      </c>
      <c r="D18" s="72" t="s">
        <v>328</v>
      </c>
      <c r="E18" s="74" t="s">
        <v>163</v>
      </c>
      <c r="F18" s="74" t="s">
        <v>164</v>
      </c>
      <c r="G18" s="25" t="s">
        <v>106</v>
      </c>
      <c r="H18" s="25"/>
      <c r="I18" s="25"/>
    </row>
    <row r="19" spans="2:10">
      <c r="B19" s="73"/>
      <c r="C19" s="72"/>
      <c r="D19" s="72"/>
      <c r="E19" s="75"/>
      <c r="F19" s="75"/>
      <c r="G19" s="26" t="str">
        <f>'1'!D20</f>
        <v>2024 год</v>
      </c>
      <c r="H19" s="49" t="str">
        <f>'1'!E20</f>
        <v>2025 год</v>
      </c>
      <c r="I19" s="49" t="str">
        <f>'1'!F20</f>
        <v>2026 год</v>
      </c>
    </row>
    <row r="20" spans="2:10"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</row>
    <row r="21" spans="2:10" ht="96" customHeight="1">
      <c r="B21" s="35" t="str">
        <f>'4'!B136</f>
        <v>Муниципальная программа «Комплексное развитие систем коммунальной инфраструктуры в сфере водоснабжения и водоотведения муниципального образования «Город Вытегра» Вытегорского муниципального района Вологодской области на 2024-2026г.г.»</v>
      </c>
      <c r="C21" s="17"/>
      <c r="D21" s="17"/>
      <c r="E21" s="7" t="str">
        <f>'4'!E136</f>
        <v>03 0 00 00000</v>
      </c>
      <c r="F21" s="7"/>
      <c r="G21" s="15">
        <f>SUM(G22,G34)</f>
        <v>109423.1</v>
      </c>
      <c r="H21" s="15">
        <f t="shared" ref="H21:I21" si="0">SUM(H22,H34)</f>
        <v>630</v>
      </c>
      <c r="I21" s="15">
        <f t="shared" si="0"/>
        <v>630</v>
      </c>
      <c r="J21" s="10"/>
    </row>
    <row r="22" spans="2:10" ht="47.25">
      <c r="B22" s="34" t="str">
        <f>'4'!B137</f>
        <v>Подпрограмма 1 "Комплексное развитие систем коммунальной инфраструктуры в сфере водоснабжения муниципального образования "Город Вытегра"</v>
      </c>
      <c r="C22" s="17"/>
      <c r="D22" s="17"/>
      <c r="E22" s="7" t="str">
        <f>'4'!E137</f>
        <v>03 1 00 00000</v>
      </c>
      <c r="F22" s="7"/>
      <c r="G22" s="15">
        <f>SUM(G23,G28,G31)</f>
        <v>81241.3</v>
      </c>
      <c r="H22" s="15">
        <f t="shared" ref="H22:I22" si="1">SUM(H23,H28,H31)</f>
        <v>430</v>
      </c>
      <c r="I22" s="15">
        <f t="shared" si="1"/>
        <v>430</v>
      </c>
      <c r="J22" s="10"/>
    </row>
    <row r="23" spans="2:10" ht="47.25" hidden="1">
      <c r="B23" s="34" t="str">
        <f>'4'!B138</f>
        <v>Основное мероприятие 1 "Строительство и реконструкция (модернизация) объектов питьевого водоснабжения"</v>
      </c>
      <c r="C23" s="17"/>
      <c r="D23" s="17"/>
      <c r="E23" s="7" t="str">
        <f>'4'!E138</f>
        <v>01 1 01 00000</v>
      </c>
      <c r="F23" s="7"/>
      <c r="G23" s="7">
        <f>SUM(G24,G26)</f>
        <v>0</v>
      </c>
      <c r="H23" s="7"/>
      <c r="I23" s="7">
        <f>SUM(I24,I26)</f>
        <v>0</v>
      </c>
      <c r="J23" s="10"/>
    </row>
    <row r="24" spans="2:10" ht="31.5" hidden="1">
      <c r="B24" s="34" t="str">
        <f>'4'!B139</f>
        <v>Мероприятия по проектированию объектов централизованных систем водоснабжения</v>
      </c>
      <c r="C24" s="17"/>
      <c r="D24" s="17"/>
      <c r="E24" s="7" t="str">
        <f>'4'!E139</f>
        <v>01 1 01 73040</v>
      </c>
      <c r="F24" s="7"/>
      <c r="G24" s="7">
        <f>G25</f>
        <v>0</v>
      </c>
      <c r="H24" s="7"/>
      <c r="I24" s="7">
        <f>I25</f>
        <v>0</v>
      </c>
      <c r="J24" s="10"/>
    </row>
    <row r="25" spans="2:10" hidden="1">
      <c r="B25" s="34" t="str">
        <f>'4'!B140</f>
        <v>Бюджетные инвестиции</v>
      </c>
      <c r="C25" s="17" t="str">
        <f>'4'!C140</f>
        <v>05</v>
      </c>
      <c r="D25" s="17" t="str">
        <f>'4'!D140</f>
        <v>02</v>
      </c>
      <c r="E25" s="7" t="str">
        <f>'4'!E140</f>
        <v>01 1 01 73040</v>
      </c>
      <c r="F25" s="7" t="str">
        <f>'4'!F140</f>
        <v>410</v>
      </c>
      <c r="G25" s="7">
        <f>'4'!G140</f>
        <v>0</v>
      </c>
      <c r="H25" s="7"/>
      <c r="I25" s="7">
        <f>'4'!I140</f>
        <v>0</v>
      </c>
      <c r="J25" s="10"/>
    </row>
    <row r="26" spans="2:10" ht="31.5" hidden="1">
      <c r="B26" s="34" t="str">
        <f>'4'!B141</f>
        <v>Софинансирование мероприятий по проектированию объектов централизованных систем водоснабжения</v>
      </c>
      <c r="C26" s="17"/>
      <c r="D26" s="17"/>
      <c r="E26" s="7" t="str">
        <f>'4'!E141</f>
        <v>01 1 01 S3040</v>
      </c>
      <c r="F26" s="7"/>
      <c r="G26" s="7">
        <f>G27</f>
        <v>0</v>
      </c>
      <c r="H26" s="7"/>
      <c r="I26" s="7">
        <f>I27</f>
        <v>0</v>
      </c>
      <c r="J26" s="10"/>
    </row>
    <row r="27" spans="2:10" hidden="1">
      <c r="B27" s="34" t="str">
        <f>'4'!B154</f>
        <v>Бюджетные инвестиции</v>
      </c>
      <c r="C27" s="17" t="str">
        <f>'4'!C142</f>
        <v>05</v>
      </c>
      <c r="D27" s="17" t="str">
        <f>'4'!D142</f>
        <v>02</v>
      </c>
      <c r="E27" s="7" t="str">
        <f>'4'!E142</f>
        <v>01 1 01 S3040</v>
      </c>
      <c r="F27" s="7" t="str">
        <f>'4'!F142</f>
        <v>410</v>
      </c>
      <c r="G27" s="7">
        <f>'4'!G142</f>
        <v>0</v>
      </c>
      <c r="H27" s="7"/>
      <c r="I27" s="7">
        <f>'4'!I142</f>
        <v>0</v>
      </c>
      <c r="J27" s="10"/>
    </row>
    <row r="28" spans="2:10" ht="63">
      <c r="B28" s="34" t="str">
        <f>'4'!B146</f>
        <v>Основное мероприятие 2 "Строительство и реконструкция(модернизация) объектов питьевого водоснабжения в рамках регионального проекта "Чистая вода"</v>
      </c>
      <c r="C28" s="17"/>
      <c r="D28" s="17"/>
      <c r="E28" s="7" t="str">
        <f>'4'!E146</f>
        <v>03 1 F5 00000</v>
      </c>
      <c r="F28" s="7"/>
      <c r="G28" s="7">
        <f>G29</f>
        <v>79110.8</v>
      </c>
      <c r="H28" s="7">
        <f t="shared" ref="H28:I29" si="2">H29</f>
        <v>0</v>
      </c>
      <c r="I28" s="7">
        <f t="shared" si="2"/>
        <v>0</v>
      </c>
      <c r="J28" s="10"/>
    </row>
    <row r="29" spans="2:10" ht="31.5" customHeight="1">
      <c r="B29" s="34" t="str">
        <f>'4'!B147</f>
        <v>Мероприятия на строительство, реконструкцию (модернизацию) объектов питьевого водоснабжения в рамках регионального проекта "Чистая вода""</v>
      </c>
      <c r="C29" s="17"/>
      <c r="D29" s="17"/>
      <c r="E29" s="7" t="str">
        <f>'4'!E147</f>
        <v>03 1 F5 52430</v>
      </c>
      <c r="F29" s="7"/>
      <c r="G29" s="7">
        <f>G30</f>
        <v>79110.8</v>
      </c>
      <c r="H29" s="7">
        <f t="shared" si="2"/>
        <v>0</v>
      </c>
      <c r="I29" s="7">
        <f t="shared" si="2"/>
        <v>0</v>
      </c>
      <c r="J29" s="10"/>
    </row>
    <row r="30" spans="2:10">
      <c r="B30" s="34" t="str">
        <f>'4'!B148</f>
        <v>Бюджетные инвестиции</v>
      </c>
      <c r="C30" s="17" t="str">
        <f>'4'!C148</f>
        <v>05</v>
      </c>
      <c r="D30" s="17" t="str">
        <f>'4'!D148</f>
        <v>02</v>
      </c>
      <c r="E30" s="7" t="str">
        <f>'4'!E148</f>
        <v>03 1 F5 52430</v>
      </c>
      <c r="F30" s="7" t="str">
        <f>'4'!F148</f>
        <v>410</v>
      </c>
      <c r="G30" s="7">
        <f>'4'!G148</f>
        <v>79110.8</v>
      </c>
      <c r="H30" s="7">
        <f>'4'!H148</f>
        <v>0</v>
      </c>
      <c r="I30" s="7">
        <f>'4'!I148</f>
        <v>0</v>
      </c>
      <c r="J30" s="10"/>
    </row>
    <row r="31" spans="2:10" ht="31.5">
      <c r="B31" s="34" t="str">
        <f>'4'!B143</f>
        <v>Основное мероприятие 3 "Текущий и капитальный ремонт водопроводных сетей"</v>
      </c>
      <c r="C31" s="17"/>
      <c r="D31" s="17"/>
      <c r="E31" s="7" t="str">
        <f>'4'!E143</f>
        <v>03 1 03 00000</v>
      </c>
      <c r="F31" s="7"/>
      <c r="G31" s="7">
        <f>G32</f>
        <v>2130.5</v>
      </c>
      <c r="H31" s="7">
        <f t="shared" ref="H31:I32" si="3">H32</f>
        <v>430</v>
      </c>
      <c r="I31" s="7">
        <f t="shared" si="3"/>
        <v>430</v>
      </c>
      <c r="J31" s="10"/>
    </row>
    <row r="32" spans="2:10" ht="31.5">
      <c r="B32" s="34" t="str">
        <f>'4'!B144</f>
        <v>Мероприятия по текущему и капитальному ремонту водопроводных сетей</v>
      </c>
      <c r="C32" s="17"/>
      <c r="D32" s="17"/>
      <c r="E32" s="7" t="str">
        <f>'4'!E144</f>
        <v>03 1 03 20360</v>
      </c>
      <c r="F32" s="7"/>
      <c r="G32" s="7">
        <f>G33</f>
        <v>2130.5</v>
      </c>
      <c r="H32" s="7">
        <f t="shared" si="3"/>
        <v>430</v>
      </c>
      <c r="I32" s="7">
        <f t="shared" si="3"/>
        <v>430</v>
      </c>
      <c r="J32" s="10"/>
    </row>
    <row r="33" spans="2:10" ht="31.5">
      <c r="B33" s="34" t="str">
        <f>'4'!B145</f>
        <v>Иные закупки товаров, работ и услуг для обеспечения государственных (муниципальных) нужд</v>
      </c>
      <c r="C33" s="17" t="str">
        <f>'4'!C145</f>
        <v>05</v>
      </c>
      <c r="D33" s="17" t="str">
        <f>'4'!D145</f>
        <v>02</v>
      </c>
      <c r="E33" s="7" t="str">
        <f>'4'!E145</f>
        <v>03 1 03 20360</v>
      </c>
      <c r="F33" s="7" t="str">
        <f>'4'!F145</f>
        <v>240</v>
      </c>
      <c r="G33" s="7">
        <f>'4'!G145</f>
        <v>2130.5</v>
      </c>
      <c r="H33" s="7">
        <f>'4'!H145</f>
        <v>430</v>
      </c>
      <c r="I33" s="7">
        <f>'4'!I145</f>
        <v>430</v>
      </c>
      <c r="J33" s="10"/>
    </row>
    <row r="34" spans="2:10" ht="47.25">
      <c r="B34" s="34" t="str">
        <f>'4'!B149</f>
        <v>Подпрограмма 2 "Комплексное развитие систем коммунальной инфраструктуры в сфере водоотведения муниципального образования "Город Вытегра"</v>
      </c>
      <c r="C34" s="17"/>
      <c r="D34" s="17"/>
      <c r="E34" s="7" t="str">
        <f>'4'!E149</f>
        <v>03 2 00 00000</v>
      </c>
      <c r="F34" s="7"/>
      <c r="G34" s="7">
        <f>SUM(G35,G40)</f>
        <v>28181.800000000003</v>
      </c>
      <c r="H34" s="7">
        <f t="shared" ref="H34:I34" si="4">SUM(H35,H40)</f>
        <v>200</v>
      </c>
      <c r="I34" s="7">
        <f t="shared" si="4"/>
        <v>200</v>
      </c>
      <c r="J34" s="10"/>
    </row>
    <row r="35" spans="2:10" ht="31.5">
      <c r="B35" s="34" t="str">
        <f>'4'!B150</f>
        <v>Основное мероприятие 1 "Строительство и реконструкция (модернизация) объектов водоотведения"</v>
      </c>
      <c r="C35" s="17"/>
      <c r="D35" s="17"/>
      <c r="E35" s="7" t="str">
        <f>'4'!E150</f>
        <v>03 2 01 00000</v>
      </c>
      <c r="F35" s="7"/>
      <c r="G35" s="7">
        <f>SUM(G36,G38)</f>
        <v>28108.100000000002</v>
      </c>
      <c r="H35" s="7">
        <f t="shared" ref="H35:I35" si="5">SUM(H36,H38)</f>
        <v>0</v>
      </c>
      <c r="I35" s="7">
        <f t="shared" si="5"/>
        <v>0</v>
      </c>
      <c r="J35" s="10"/>
    </row>
    <row r="36" spans="2:10" ht="47.25">
      <c r="B36" s="34" t="str">
        <f>'4'!B151</f>
        <v>Мероприятия по строительству, реконструкции и капитальный ремонт централизованных систем водоотведения</v>
      </c>
      <c r="C36" s="17"/>
      <c r="D36" s="17"/>
      <c r="E36" s="7" t="str">
        <f>'4'!E151</f>
        <v>03 2 01 73040</v>
      </c>
      <c r="F36" s="7"/>
      <c r="G36" s="7">
        <f>G37</f>
        <v>27264.9</v>
      </c>
      <c r="H36" s="7">
        <f t="shared" ref="H36:I36" si="6">H37</f>
        <v>0</v>
      </c>
      <c r="I36" s="7">
        <f t="shared" si="6"/>
        <v>0</v>
      </c>
      <c r="J36" s="10"/>
    </row>
    <row r="37" spans="2:10">
      <c r="B37" s="34" t="str">
        <f>'4'!B152</f>
        <v>Бюджетные инвестиции</v>
      </c>
      <c r="C37" s="17" t="str">
        <f>'4'!C152</f>
        <v>05</v>
      </c>
      <c r="D37" s="17" t="str">
        <f>'4'!D152</f>
        <v>02</v>
      </c>
      <c r="E37" s="7" t="str">
        <f>'4'!E152</f>
        <v>03 2 01 73040</v>
      </c>
      <c r="F37" s="7" t="str">
        <f>'4'!F152</f>
        <v>410</v>
      </c>
      <c r="G37" s="7">
        <f>'4'!G152</f>
        <v>27264.9</v>
      </c>
      <c r="H37" s="7">
        <v>0</v>
      </c>
      <c r="I37" s="7">
        <f>'4'!I152</f>
        <v>0</v>
      </c>
      <c r="J37" s="10"/>
    </row>
    <row r="38" spans="2:10" ht="47.25">
      <c r="B38" s="34" t="str">
        <f>'4'!B153</f>
        <v>Софинансирование мероприятия по строительству, реконструкции и капитальному ремонту централизованных систем водоотведения</v>
      </c>
      <c r="C38" s="17"/>
      <c r="D38" s="17"/>
      <c r="E38" s="7" t="str">
        <f>'4'!E153</f>
        <v>03 2 01 S3040</v>
      </c>
      <c r="F38" s="7"/>
      <c r="G38" s="7">
        <f>G39</f>
        <v>843.2</v>
      </c>
      <c r="H38" s="7">
        <f t="shared" ref="H38:I38" si="7">H39</f>
        <v>0</v>
      </c>
      <c r="I38" s="7">
        <f t="shared" si="7"/>
        <v>0</v>
      </c>
      <c r="J38" s="10"/>
    </row>
    <row r="39" spans="2:10">
      <c r="B39" s="34" t="str">
        <f>'4'!B154</f>
        <v>Бюджетные инвестиции</v>
      </c>
      <c r="C39" s="17" t="str">
        <f>'4'!C154</f>
        <v>05</v>
      </c>
      <c r="D39" s="17" t="str">
        <f>'4'!D154</f>
        <v>02</v>
      </c>
      <c r="E39" s="7" t="str">
        <f>'4'!E154</f>
        <v>03 2 01 S3040</v>
      </c>
      <c r="F39" s="7" t="str">
        <f>'4'!F154</f>
        <v>410</v>
      </c>
      <c r="G39" s="7">
        <f>'4'!G154</f>
        <v>843.2</v>
      </c>
      <c r="H39" s="7">
        <v>0</v>
      </c>
      <c r="I39" s="7">
        <f>'4'!I154</f>
        <v>0</v>
      </c>
      <c r="J39" s="10"/>
    </row>
    <row r="40" spans="2:10" ht="31.5">
      <c r="B40" s="34" t="str">
        <f>'4'!B155</f>
        <v>Основное мероприятие 2 "Текущий и капитальный ремонт канализационных сетей"</v>
      </c>
      <c r="C40" s="17"/>
      <c r="D40" s="17"/>
      <c r="E40" s="7" t="str">
        <f>'4'!E155</f>
        <v>03 2 02 00000</v>
      </c>
      <c r="F40" s="7"/>
      <c r="G40" s="7">
        <f>G41</f>
        <v>73.7</v>
      </c>
      <c r="H40" s="7">
        <f t="shared" ref="H40:I41" si="8">H41</f>
        <v>200</v>
      </c>
      <c r="I40" s="7">
        <f t="shared" si="8"/>
        <v>200</v>
      </c>
      <c r="J40" s="10"/>
    </row>
    <row r="41" spans="2:10" ht="31.5">
      <c r="B41" s="34" t="str">
        <f>'4'!B156</f>
        <v>Мероприятия по текущему и капитальному ремонту канализационных сетей</v>
      </c>
      <c r="C41" s="17"/>
      <c r="D41" s="17"/>
      <c r="E41" s="7" t="str">
        <f>'4'!E156</f>
        <v>03 2 02 20360</v>
      </c>
      <c r="F41" s="7"/>
      <c r="G41" s="7">
        <f>G42</f>
        <v>73.7</v>
      </c>
      <c r="H41" s="7">
        <f t="shared" si="8"/>
        <v>200</v>
      </c>
      <c r="I41" s="7">
        <f t="shared" si="8"/>
        <v>200</v>
      </c>
      <c r="J41" s="10"/>
    </row>
    <row r="42" spans="2:10" ht="31.5">
      <c r="B42" s="34" t="str">
        <f>'4'!B157</f>
        <v>Иные закупки товаров, работ и услуг для обеспечения государственных (муниципальных) нужд</v>
      </c>
      <c r="C42" s="17" t="str">
        <f>'4'!C157</f>
        <v>05</v>
      </c>
      <c r="D42" s="17" t="str">
        <f>'4'!D157</f>
        <v>02</v>
      </c>
      <c r="E42" s="7" t="str">
        <f>'4'!E157</f>
        <v>03 2 02 20360</v>
      </c>
      <c r="F42" s="7" t="str">
        <f>'4'!F157</f>
        <v>240</v>
      </c>
      <c r="G42" s="7">
        <f>'4'!G157</f>
        <v>73.7</v>
      </c>
      <c r="H42" s="7">
        <f>'4'!H157</f>
        <v>200</v>
      </c>
      <c r="I42" s="7">
        <f>'4'!I157</f>
        <v>200</v>
      </c>
      <c r="J42" s="10"/>
    </row>
    <row r="43" spans="2:10" ht="63" customHeight="1">
      <c r="B43" s="35" t="str">
        <f>'4'!B107</f>
        <v>Муниципальная программа "Развитие транспортной системы на территории муниципального образования "Город Вытегра" Вытегорского муниципального района Вологодской области на 2022-2026г.г."</v>
      </c>
      <c r="C43" s="17"/>
      <c r="D43" s="17"/>
      <c r="E43" s="7" t="str">
        <f>'4'!E112</f>
        <v>02 0 00 00000</v>
      </c>
      <c r="F43" s="7"/>
      <c r="G43" s="15">
        <f>SUM(G44,G49,G52)</f>
        <v>31620.6</v>
      </c>
      <c r="H43" s="15">
        <f t="shared" ref="H43:I43" si="9">SUM(H44,H49,H52)</f>
        <v>8500</v>
      </c>
      <c r="I43" s="15">
        <f t="shared" si="9"/>
        <v>8500</v>
      </c>
      <c r="J43" s="10"/>
    </row>
    <row r="44" spans="2:10" ht="35.25" customHeight="1">
      <c r="B44" s="34" t="s">
        <v>447</v>
      </c>
      <c r="C44" s="17"/>
      <c r="D44" s="17"/>
      <c r="E44" s="7" t="str">
        <f>'5'!F106</f>
        <v>02 0 01 00000</v>
      </c>
      <c r="F44" s="7"/>
      <c r="G44" s="7">
        <f>G45+G47</f>
        <v>24020.6</v>
      </c>
      <c r="H44" s="7">
        <f t="shared" ref="H44:I44" si="10">H45+H47</f>
        <v>1567.5</v>
      </c>
      <c r="I44" s="7">
        <f t="shared" si="10"/>
        <v>0</v>
      </c>
      <c r="J44" s="10"/>
    </row>
    <row r="45" spans="2:10" ht="34.5" customHeight="1">
      <c r="B45" s="34" t="s">
        <v>449</v>
      </c>
      <c r="C45" s="17"/>
      <c r="D45" s="17"/>
      <c r="E45" s="7" t="str">
        <f>'5'!F107</f>
        <v>02 0 01 71350</v>
      </c>
      <c r="F45" s="7"/>
      <c r="G45" s="7">
        <f>G46</f>
        <v>23300</v>
      </c>
      <c r="H45" s="7">
        <f>H46</f>
        <v>0</v>
      </c>
      <c r="I45" s="7"/>
      <c r="J45" s="10"/>
    </row>
    <row r="46" spans="2:10" ht="37.5" customHeight="1">
      <c r="B46" s="34" t="s">
        <v>175</v>
      </c>
      <c r="C46" s="17" t="s">
        <v>145</v>
      </c>
      <c r="D46" s="17" t="s">
        <v>151</v>
      </c>
      <c r="E46" s="7" t="str">
        <f>'5'!F108</f>
        <v>02 0 01 71350</v>
      </c>
      <c r="F46" s="17">
        <v>240</v>
      </c>
      <c r="G46" s="7">
        <f>'5'!H108</f>
        <v>23300</v>
      </c>
      <c r="H46" s="7">
        <v>0</v>
      </c>
      <c r="I46" s="7">
        <v>0</v>
      </c>
      <c r="J46" s="10"/>
    </row>
    <row r="47" spans="2:10" ht="37.5" customHeight="1">
      <c r="B47" s="70" t="s">
        <v>450</v>
      </c>
      <c r="C47" s="17"/>
      <c r="D47" s="17"/>
      <c r="E47" s="7" t="str">
        <f>'5'!F109</f>
        <v>02 0 01 S1350</v>
      </c>
      <c r="F47" s="17"/>
      <c r="G47" s="7">
        <f>G48</f>
        <v>720.6</v>
      </c>
      <c r="H47" s="7">
        <f t="shared" ref="H47:I47" si="11">H48</f>
        <v>1567.5</v>
      </c>
      <c r="I47" s="7">
        <f t="shared" si="11"/>
        <v>0</v>
      </c>
      <c r="J47" s="10"/>
    </row>
    <row r="48" spans="2:10" ht="34.5" customHeight="1">
      <c r="B48" s="34" t="s">
        <v>175</v>
      </c>
      <c r="C48" s="17" t="s">
        <v>145</v>
      </c>
      <c r="D48" s="17" t="s">
        <v>151</v>
      </c>
      <c r="E48" s="7" t="str">
        <f>'5'!F110</f>
        <v>02 0 01 S1350</v>
      </c>
      <c r="F48" s="17">
        <v>240</v>
      </c>
      <c r="G48" s="7">
        <f>'5'!H110</f>
        <v>720.6</v>
      </c>
      <c r="H48" s="7">
        <f>'5'!I110</f>
        <v>1567.5</v>
      </c>
      <c r="I48" s="7">
        <f>'5'!J110</f>
        <v>0</v>
      </c>
      <c r="J48" s="10"/>
    </row>
    <row r="49" spans="2:10" ht="31.5" customHeight="1">
      <c r="B49" s="34" t="str">
        <f>'4'!B118</f>
        <v>Основное мероприятие 2 "Содержание автомобильных дорог и искусственных сооружений»</v>
      </c>
      <c r="C49" s="17"/>
      <c r="D49" s="17"/>
      <c r="E49" s="7" t="str">
        <f>'4'!E118</f>
        <v>02 0 02 00000</v>
      </c>
      <c r="F49" s="7"/>
      <c r="G49" s="7">
        <f>G50</f>
        <v>6300</v>
      </c>
      <c r="H49" s="7">
        <f t="shared" ref="H49:I50" si="12">H50</f>
        <v>5432.5</v>
      </c>
      <c r="I49" s="7">
        <f t="shared" si="12"/>
        <v>7000</v>
      </c>
      <c r="J49" s="10"/>
    </row>
    <row r="50" spans="2:10" ht="47.25">
      <c r="B50" s="34" t="str">
        <f>'4'!B119</f>
        <v>Осуществление дорожной деятельности в отношении автомобильных дорог общего пользования местного значения поселения</v>
      </c>
      <c r="C50" s="17"/>
      <c r="D50" s="17"/>
      <c r="E50" s="7" t="str">
        <f>'4'!E119</f>
        <v>02 0 02 20200</v>
      </c>
      <c r="F50" s="7"/>
      <c r="G50" s="7">
        <f>G51</f>
        <v>6300</v>
      </c>
      <c r="H50" s="7">
        <f t="shared" si="12"/>
        <v>5432.5</v>
      </c>
      <c r="I50" s="7">
        <f t="shared" si="12"/>
        <v>7000</v>
      </c>
      <c r="J50" s="10"/>
    </row>
    <row r="51" spans="2:10" ht="31.5">
      <c r="B51" s="34" t="str">
        <f>'4'!B120</f>
        <v>Иные закупки товаров, работ и услуг для обеспечения государственных (муниципальных) нужд</v>
      </c>
      <c r="C51" s="17" t="str">
        <f>'4'!C120</f>
        <v>04</v>
      </c>
      <c r="D51" s="17" t="str">
        <f>'4'!D120</f>
        <v>09</v>
      </c>
      <c r="E51" s="7" t="str">
        <f>'4'!E120</f>
        <v>02 0 02 20200</v>
      </c>
      <c r="F51" s="7" t="str">
        <f>'4'!F120</f>
        <v>240</v>
      </c>
      <c r="G51" s="7">
        <f>'4'!G120</f>
        <v>6300</v>
      </c>
      <c r="H51" s="7">
        <f>'4'!H120</f>
        <v>5432.5</v>
      </c>
      <c r="I51" s="7">
        <f>'4'!I120</f>
        <v>7000</v>
      </c>
      <c r="J51" s="10"/>
    </row>
    <row r="52" spans="2:10" ht="31.5">
      <c r="B52" s="34" t="str">
        <f>'4'!B108</f>
        <v>Основное мероприятие 3 "Создание условий для содержания автобусного маршрута"</v>
      </c>
      <c r="C52" s="17"/>
      <c r="D52" s="17"/>
      <c r="E52" s="7" t="str">
        <f>'4'!E108</f>
        <v>02 0 03 00000</v>
      </c>
      <c r="F52" s="7"/>
      <c r="G52" s="7">
        <f>G53</f>
        <v>1300</v>
      </c>
      <c r="H52" s="7">
        <f t="shared" ref="H52:I53" si="13">H53</f>
        <v>1500</v>
      </c>
      <c r="I52" s="7">
        <f t="shared" si="13"/>
        <v>1500</v>
      </c>
      <c r="J52" s="10"/>
    </row>
    <row r="53" spans="2:10" ht="31.5">
      <c r="B53" s="34" t="str">
        <f>'4'!B109</f>
        <v>Компенсация недополученных доходов транспортным организациям и индивидуальным предпринимателям</v>
      </c>
      <c r="C53" s="17"/>
      <c r="D53" s="17"/>
      <c r="E53" s="7" t="str">
        <f>'4'!E109</f>
        <v>02 0 03 60620</v>
      </c>
      <c r="F53" s="7"/>
      <c r="G53" s="7">
        <f>G54</f>
        <v>1300</v>
      </c>
      <c r="H53" s="7">
        <f t="shared" si="13"/>
        <v>1500</v>
      </c>
      <c r="I53" s="7">
        <f t="shared" si="13"/>
        <v>1500</v>
      </c>
      <c r="J53" s="10"/>
    </row>
    <row r="54" spans="2:10">
      <c r="B54" s="34" t="str">
        <f>'4'!B110</f>
        <v>Иные бюджетные ассигнования</v>
      </c>
      <c r="C54" s="17" t="str">
        <f>'4'!C110</f>
        <v>04</v>
      </c>
      <c r="D54" s="17" t="str">
        <f>'4'!D110</f>
        <v>08</v>
      </c>
      <c r="E54" s="7" t="str">
        <f>'4'!E110</f>
        <v>02 0 03 60620</v>
      </c>
      <c r="F54" s="7" t="str">
        <f>'4'!F110</f>
        <v>800</v>
      </c>
      <c r="G54" s="7">
        <f>'4'!G110</f>
        <v>1300</v>
      </c>
      <c r="H54" s="7">
        <f>'4'!H110</f>
        <v>1500</v>
      </c>
      <c r="I54" s="7">
        <f>'4'!I110</f>
        <v>1500</v>
      </c>
      <c r="J54" s="10"/>
    </row>
    <row r="55" spans="2:10">
      <c r="B55" s="21" t="s">
        <v>161</v>
      </c>
      <c r="C55" s="17"/>
      <c r="D55" s="17"/>
      <c r="E55" s="7"/>
      <c r="F55" s="7"/>
      <c r="G55" s="15">
        <f>SUM(G21,G43)</f>
        <v>141043.70000000001</v>
      </c>
      <c r="H55" s="15">
        <f t="shared" ref="H55:I55" si="14">SUM(H21,H43)</f>
        <v>9130</v>
      </c>
      <c r="I55" s="15">
        <f t="shared" si="14"/>
        <v>9130</v>
      </c>
      <c r="J55" s="10"/>
    </row>
  </sheetData>
  <mergeCells count="5">
    <mergeCell ref="B18:B19"/>
    <mergeCell ref="C18:C19"/>
    <mergeCell ref="D18:D19"/>
    <mergeCell ref="E18:E19"/>
    <mergeCell ref="F18:F19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view="pageBreakPreview" topLeftCell="B13" zoomScale="90" zoomScaleNormal="90" zoomScaleSheetLayoutView="90" workbookViewId="0">
      <selection activeCell="E32" sqref="E32"/>
    </sheetView>
  </sheetViews>
  <sheetFormatPr defaultColWidth="9.140625" defaultRowHeight="15.75"/>
  <cols>
    <col min="1" max="1" width="28.7109375" style="1" hidden="1" customWidth="1"/>
    <col min="2" max="2" width="49.7109375" style="1" customWidth="1"/>
    <col min="3" max="3" width="28.7109375" style="1" customWidth="1"/>
    <col min="4" max="6" width="15.28515625" style="1" customWidth="1"/>
    <col min="7" max="16384" width="9.140625" style="1"/>
  </cols>
  <sheetData>
    <row r="1" spans="2:6">
      <c r="F1" s="2" t="s">
        <v>348</v>
      </c>
    </row>
    <row r="2" spans="2:6">
      <c r="F2" s="2" t="str">
        <f>'1'!F2</f>
        <v>к решению Городского Совета</v>
      </c>
    </row>
    <row r="3" spans="2:6">
      <c r="F3" s="2" t="str">
        <f>'1'!F3</f>
        <v>муниципального образования "Город Вытегра"</v>
      </c>
    </row>
    <row r="4" spans="2:6">
      <c r="F4" s="2" t="str">
        <f>'1'!F4</f>
        <v>от 17.10.2024 года № 115</v>
      </c>
    </row>
    <row r="6" spans="2:6">
      <c r="F6" s="2" t="s">
        <v>348</v>
      </c>
    </row>
    <row r="7" spans="2:6">
      <c r="F7" s="2" t="str">
        <f>'1'!F7</f>
        <v>к решению Городского Совета</v>
      </c>
    </row>
    <row r="8" spans="2:6">
      <c r="F8" s="2" t="str">
        <f>'1'!F8</f>
        <v>муниципального образования "Город Вытегра"</v>
      </c>
    </row>
    <row r="9" spans="2:6">
      <c r="F9" s="2" t="str">
        <f>'1'!F9</f>
        <v>"О бюджете муниципального образования "Город Вытегра"</v>
      </c>
    </row>
    <row r="10" spans="2:6">
      <c r="F10" s="2" t="str">
        <f>'1'!F10</f>
        <v>на 2024 год и плановый период 2025 и 2026 годов"</v>
      </c>
    </row>
    <row r="11" spans="2:6">
      <c r="F11" s="2" t="str">
        <f>'1'!F11</f>
        <v>от 14 декабря 2023 года № 78</v>
      </c>
    </row>
    <row r="13" spans="2:6">
      <c r="B13" s="3" t="s">
        <v>366</v>
      </c>
      <c r="C13" s="4"/>
      <c r="D13" s="4"/>
      <c r="E13" s="4"/>
      <c r="F13" s="4"/>
    </row>
    <row r="14" spans="2:6">
      <c r="B14" s="3" t="s">
        <v>367</v>
      </c>
      <c r="C14" s="4"/>
      <c r="D14" s="4"/>
      <c r="E14" s="4"/>
      <c r="F14" s="4"/>
    </row>
    <row r="15" spans="2:6">
      <c r="B15" s="3" t="str">
        <f>справочник!A2</f>
        <v>НА 2024 ГОД И ПЛАНОВЫЙ ПЕРИОД 2025 И 2026 ГОДОВ</v>
      </c>
      <c r="C15" s="4"/>
      <c r="D15" s="4"/>
      <c r="E15" s="4"/>
      <c r="F15" s="4"/>
    </row>
    <row r="17" spans="2:7">
      <c r="F17" s="2" t="s">
        <v>7</v>
      </c>
    </row>
    <row r="18" spans="2:7">
      <c r="B18" s="73" t="s">
        <v>107</v>
      </c>
      <c r="C18" s="72" t="s">
        <v>368</v>
      </c>
      <c r="D18" s="36" t="s">
        <v>106</v>
      </c>
      <c r="E18" s="36"/>
      <c r="F18" s="36"/>
    </row>
    <row r="19" spans="2:7">
      <c r="B19" s="73"/>
      <c r="C19" s="72"/>
      <c r="D19" s="27" t="str">
        <f>'1'!D20</f>
        <v>2024 год</v>
      </c>
      <c r="E19" s="27" t="str">
        <f>'1'!E20</f>
        <v>2025 год</v>
      </c>
      <c r="F19" s="27" t="str">
        <f>'1'!F20</f>
        <v>2026 год</v>
      </c>
    </row>
    <row r="20" spans="2:7">
      <c r="B20" s="5">
        <v>1</v>
      </c>
      <c r="C20" s="5">
        <v>2</v>
      </c>
      <c r="D20" s="5">
        <v>3</v>
      </c>
      <c r="E20" s="5">
        <v>4</v>
      </c>
      <c r="F20" s="5">
        <v>5</v>
      </c>
    </row>
    <row r="21" spans="2:7">
      <c r="B21" s="46" t="s">
        <v>369</v>
      </c>
      <c r="C21" s="14"/>
      <c r="D21" s="7">
        <v>0</v>
      </c>
      <c r="E21" s="7">
        <v>0</v>
      </c>
      <c r="F21" s="7">
        <v>0</v>
      </c>
      <c r="G21" s="10"/>
    </row>
    <row r="22" spans="2:7">
      <c r="B22" s="41"/>
      <c r="C22" s="45"/>
      <c r="D22" s="43"/>
      <c r="E22" s="43"/>
      <c r="F22" s="44"/>
      <c r="G22" s="10"/>
    </row>
    <row r="23" spans="2:7">
      <c r="B23" s="37" t="s">
        <v>370</v>
      </c>
      <c r="C23" s="38"/>
      <c r="D23" s="40"/>
      <c r="E23" s="40"/>
      <c r="F23" s="40"/>
    </row>
    <row r="24" spans="2:7" ht="141.75">
      <c r="B24" s="20" t="s">
        <v>371</v>
      </c>
      <c r="C24" s="28" t="s">
        <v>453</v>
      </c>
      <c r="D24" s="7">
        <v>2284</v>
      </c>
      <c r="E24" s="7">
        <v>2343</v>
      </c>
      <c r="F24" s="7">
        <v>2450</v>
      </c>
    </row>
    <row r="25" spans="2:7">
      <c r="B25" s="20" t="s">
        <v>30</v>
      </c>
      <c r="C25" s="28" t="s">
        <v>372</v>
      </c>
      <c r="D25" s="7">
        <f>4016+720.6</f>
        <v>4736.6000000000004</v>
      </c>
      <c r="E25" s="7">
        <v>4657</v>
      </c>
      <c r="F25" s="7">
        <v>4550</v>
      </c>
    </row>
    <row r="26" spans="2:7" ht="48" customHeight="1">
      <c r="B26" s="20" t="s">
        <v>435</v>
      </c>
      <c r="C26" s="28" t="s">
        <v>454</v>
      </c>
      <c r="D26" s="7">
        <v>23300</v>
      </c>
      <c r="E26" s="7">
        <v>0</v>
      </c>
      <c r="F26" s="7">
        <v>0</v>
      </c>
    </row>
    <row r="27" spans="2:7">
      <c r="B27" s="39" t="s">
        <v>376</v>
      </c>
      <c r="C27" s="9"/>
      <c r="D27" s="15">
        <f>SUM(D24:D26)</f>
        <v>30320.6</v>
      </c>
      <c r="E27" s="15">
        <f>SUM(E24:E26)</f>
        <v>7000</v>
      </c>
      <c r="F27" s="15">
        <f>SUM(F24:F26)</f>
        <v>7000</v>
      </c>
    </row>
    <row r="28" spans="2:7">
      <c r="B28" s="41"/>
      <c r="C28" s="42"/>
      <c r="D28" s="43"/>
      <c r="E28" s="43"/>
      <c r="F28" s="44"/>
    </row>
    <row r="29" spans="2:7">
      <c r="B29" s="37" t="s">
        <v>104</v>
      </c>
      <c r="C29" s="38"/>
      <c r="D29" s="40"/>
      <c r="E29" s="40"/>
      <c r="F29" s="40"/>
    </row>
    <row r="30" spans="2:7" ht="47.25" customHeight="1">
      <c r="B30" s="20" t="s">
        <v>373</v>
      </c>
      <c r="C30" s="28" t="s">
        <v>374</v>
      </c>
      <c r="D30" s="7">
        <f>7000+600-1300</f>
        <v>6300</v>
      </c>
      <c r="E30" s="7">
        <v>5432.5</v>
      </c>
      <c r="F30" s="7">
        <v>7000</v>
      </c>
    </row>
    <row r="31" spans="2:7" ht="33.75" customHeight="1">
      <c r="B31" s="20" t="s">
        <v>449</v>
      </c>
      <c r="C31" s="71" t="s">
        <v>455</v>
      </c>
      <c r="D31" s="7">
        <v>23300</v>
      </c>
      <c r="E31" s="7">
        <v>0</v>
      </c>
      <c r="F31" s="7">
        <v>0</v>
      </c>
    </row>
    <row r="32" spans="2:7" ht="35.25" customHeight="1">
      <c r="B32" s="20" t="s">
        <v>450</v>
      </c>
      <c r="C32" s="71" t="s">
        <v>456</v>
      </c>
      <c r="D32" s="7">
        <v>720.6</v>
      </c>
      <c r="E32" s="7">
        <v>1567.5</v>
      </c>
      <c r="F32" s="7">
        <v>0</v>
      </c>
    </row>
    <row r="33" spans="2:6">
      <c r="B33" s="39" t="s">
        <v>375</v>
      </c>
      <c r="C33" s="11"/>
      <c r="D33" s="15">
        <f>D30+D31+D32</f>
        <v>30320.6</v>
      </c>
      <c r="E33" s="15">
        <f t="shared" ref="E33:F33" si="0">E30+E31+E32</f>
        <v>7000</v>
      </c>
      <c r="F33" s="15">
        <f t="shared" si="0"/>
        <v>7000</v>
      </c>
    </row>
  </sheetData>
  <mergeCells count="2"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view="pageBreakPreview" topLeftCell="B1" zoomScale="90" zoomScaleNormal="100" zoomScaleSheetLayoutView="90" workbookViewId="0">
      <selection activeCell="F2" sqref="F2"/>
    </sheetView>
  </sheetViews>
  <sheetFormatPr defaultColWidth="9.140625" defaultRowHeight="15.75"/>
  <cols>
    <col min="1" max="1" width="28.7109375" style="1" hidden="1" customWidth="1"/>
    <col min="2" max="2" width="7" style="1" bestFit="1" customWidth="1"/>
    <col min="3" max="3" width="71.42578125" style="1" customWidth="1"/>
    <col min="4" max="6" width="15.28515625" style="1" customWidth="1"/>
    <col min="7" max="16384" width="9.140625" style="1"/>
  </cols>
  <sheetData>
    <row r="1" spans="2:6">
      <c r="F1" s="2" t="s">
        <v>348</v>
      </c>
    </row>
    <row r="2" spans="2:6">
      <c r="F2" s="2" t="str">
        <f>'1'!F2</f>
        <v>к решению Городского Совета</v>
      </c>
    </row>
    <row r="3" spans="2:6">
      <c r="F3" s="2" t="str">
        <f>'1'!F3</f>
        <v>муниципального образования "Город Вытегра"</v>
      </c>
    </row>
    <row r="4" spans="2:6">
      <c r="F4" s="2" t="str">
        <f>'1'!F4</f>
        <v>от 17.10.2024 года № 115</v>
      </c>
    </row>
    <row r="5" spans="2:6">
      <c r="F5" s="2"/>
    </row>
    <row r="6" spans="2:6">
      <c r="F6" s="2" t="s">
        <v>412</v>
      </c>
    </row>
    <row r="7" spans="2:6">
      <c r="F7" s="2" t="str">
        <f>'1'!F7</f>
        <v>к решению Городского Совета</v>
      </c>
    </row>
    <row r="8" spans="2:6">
      <c r="F8" s="2" t="str">
        <f>'1'!F8</f>
        <v>муниципального образования "Город Вытегра"</v>
      </c>
    </row>
    <row r="9" spans="2:6">
      <c r="F9" s="2" t="str">
        <f>'1'!F9</f>
        <v>"О бюджете муниципального образования "Город Вытегра"</v>
      </c>
    </row>
    <row r="10" spans="2:6">
      <c r="F10" s="2" t="str">
        <f>'1'!F10</f>
        <v>на 2024 год и плановый период 2025 и 2026 годов"</v>
      </c>
    </row>
    <row r="11" spans="2:6">
      <c r="F11" s="2" t="str">
        <f>'1'!F11</f>
        <v>от 14 декабря 2023 года № 78</v>
      </c>
    </row>
    <row r="13" spans="2:6">
      <c r="B13" s="3" t="s">
        <v>396</v>
      </c>
      <c r="C13" s="4"/>
      <c r="D13" s="4"/>
      <c r="E13" s="4"/>
      <c r="F13" s="4"/>
    </row>
    <row r="14" spans="2:6">
      <c r="B14" s="3" t="s">
        <v>413</v>
      </c>
      <c r="C14" s="4"/>
      <c r="D14" s="4"/>
      <c r="E14" s="4"/>
      <c r="F14" s="4"/>
    </row>
    <row r="15" spans="2:6">
      <c r="B15" s="3" t="s">
        <v>397</v>
      </c>
      <c r="C15" s="4"/>
      <c r="D15" s="4"/>
      <c r="E15" s="4"/>
      <c r="F15" s="4"/>
    </row>
    <row r="16" spans="2:6">
      <c r="B16" s="3" t="s">
        <v>398</v>
      </c>
      <c r="C16" s="4"/>
      <c r="D16" s="4"/>
      <c r="E16" s="4"/>
      <c r="F16" s="4"/>
    </row>
    <row r="17" spans="2:6">
      <c r="B17" s="3" t="str">
        <f>справочник!A2</f>
        <v>НА 2024 ГОД И ПЛАНОВЫЙ ПЕРИОД 2025 И 2026 ГОДОВ</v>
      </c>
      <c r="C17" s="4"/>
      <c r="D17" s="4"/>
      <c r="E17" s="4"/>
      <c r="F17" s="4"/>
    </row>
    <row r="19" spans="2:6">
      <c r="F19" s="2" t="s">
        <v>7</v>
      </c>
    </row>
    <row r="20" spans="2:6">
      <c r="B20" s="73" t="s">
        <v>399</v>
      </c>
      <c r="C20" s="72" t="s">
        <v>400</v>
      </c>
      <c r="D20" s="37" t="s">
        <v>8</v>
      </c>
      <c r="E20" s="36"/>
      <c r="F20" s="36"/>
    </row>
    <row r="21" spans="2:6">
      <c r="B21" s="73"/>
      <c r="C21" s="72"/>
      <c r="D21" s="27" t="str">
        <f>[1]справочник!A9</f>
        <v>2024 год</v>
      </c>
      <c r="E21" s="27" t="str">
        <f>[1]справочник!B9</f>
        <v>2025 год</v>
      </c>
      <c r="F21" s="27" t="str">
        <f>[1]справочник!C9</f>
        <v>2026 год</v>
      </c>
    </row>
    <row r="22" spans="2:6">
      <c r="B22" s="5">
        <v>1</v>
      </c>
      <c r="C22" s="5">
        <v>2</v>
      </c>
      <c r="D22" s="5">
        <v>3</v>
      </c>
      <c r="E22" s="5">
        <v>4</v>
      </c>
      <c r="F22" s="5">
        <v>5</v>
      </c>
    </row>
    <row r="23" spans="2:6">
      <c r="B23" s="8" t="s">
        <v>401</v>
      </c>
      <c r="C23" s="6" t="s">
        <v>402</v>
      </c>
      <c r="D23" s="7">
        <f>'3'!E29</f>
        <v>60.5</v>
      </c>
      <c r="E23" s="7">
        <f>'3'!F29</f>
        <v>60.5</v>
      </c>
      <c r="F23" s="7">
        <f>'3'!G29</f>
        <v>60.5</v>
      </c>
    </row>
    <row r="24" spans="2:6">
      <c r="B24" s="8" t="s">
        <v>403</v>
      </c>
      <c r="C24" s="63" t="s">
        <v>414</v>
      </c>
      <c r="D24" s="7">
        <f>'3'!E26</f>
        <v>435.5</v>
      </c>
      <c r="E24" s="7">
        <f>'3'!F26</f>
        <v>435.5</v>
      </c>
      <c r="F24" s="7">
        <f>'3'!G26</f>
        <v>435.5</v>
      </c>
    </row>
    <row r="25" spans="2:6" ht="47.25">
      <c r="B25" s="8" t="s">
        <v>405</v>
      </c>
      <c r="C25" s="6" t="s">
        <v>415</v>
      </c>
      <c r="D25" s="7">
        <f>'3'!E28</f>
        <v>142.30000000000001</v>
      </c>
      <c r="E25" s="7">
        <f>'3'!F28</f>
        <v>142.30000000000001</v>
      </c>
      <c r="F25" s="7">
        <f>'3'!G28</f>
        <v>142.30000000000001</v>
      </c>
    </row>
    <row r="26" spans="2:6" ht="47.25" customHeight="1">
      <c r="B26" s="8" t="s">
        <v>407</v>
      </c>
      <c r="C26" s="6" t="s">
        <v>404</v>
      </c>
      <c r="D26" s="7">
        <f>'3'!E35</f>
        <v>345</v>
      </c>
      <c r="E26" s="7">
        <f>'3'!F35</f>
        <v>345</v>
      </c>
      <c r="F26" s="7">
        <f>'3'!G35</f>
        <v>345</v>
      </c>
    </row>
    <row r="27" spans="2:6">
      <c r="B27" s="8" t="s">
        <v>409</v>
      </c>
      <c r="C27" s="6" t="s">
        <v>406</v>
      </c>
      <c r="D27" s="7">
        <f>'3'!E36</f>
        <v>366.4</v>
      </c>
      <c r="E27" s="7">
        <f>'3'!F36</f>
        <v>366.4</v>
      </c>
      <c r="F27" s="7">
        <f>'3'!G36</f>
        <v>366.4</v>
      </c>
    </row>
    <row r="28" spans="2:6">
      <c r="B28" s="8" t="s">
        <v>416</v>
      </c>
      <c r="C28" s="64" t="s">
        <v>419</v>
      </c>
      <c r="D28" s="7">
        <f>'3'!E54+'3'!E55+'3'!E57+'3'!E58+'3'!E31</f>
        <v>3204.7000000000003</v>
      </c>
      <c r="E28" s="7">
        <f>'3'!F31+'3'!F52</f>
        <v>0</v>
      </c>
      <c r="F28" s="7">
        <f>'3'!G31+'3'!G52</f>
        <v>0</v>
      </c>
    </row>
    <row r="29" spans="2:6" ht="31.5">
      <c r="B29" s="8" t="s">
        <v>417</v>
      </c>
      <c r="C29" s="64" t="s">
        <v>444</v>
      </c>
      <c r="D29" s="7">
        <f>'3'!E53</f>
        <v>1</v>
      </c>
      <c r="E29" s="7">
        <v>0</v>
      </c>
      <c r="F29" s="7">
        <v>0</v>
      </c>
    </row>
    <row r="30" spans="2:6">
      <c r="B30" s="8" t="s">
        <v>418</v>
      </c>
      <c r="C30" s="6" t="s">
        <v>408</v>
      </c>
      <c r="D30" s="7">
        <f>'3'!E30+'3'!E65</f>
        <v>1845.3</v>
      </c>
      <c r="E30" s="7">
        <f>'3'!F30+'3'!F65</f>
        <v>1845.3</v>
      </c>
      <c r="F30" s="7">
        <f>'3'!G30+'3'!G65</f>
        <v>1845.3</v>
      </c>
    </row>
    <row r="31" spans="2:6">
      <c r="B31" s="8" t="s">
        <v>443</v>
      </c>
      <c r="C31" s="6" t="s">
        <v>410</v>
      </c>
      <c r="D31" s="7">
        <f>'3'!E27+'3'!E73</f>
        <v>1881.7</v>
      </c>
      <c r="E31" s="7">
        <f>'3'!F27+'3'!F73</f>
        <v>1881.7</v>
      </c>
      <c r="F31" s="7">
        <f>'3'!G27+'3'!G73</f>
        <v>1881.7</v>
      </c>
    </row>
    <row r="32" spans="2:6">
      <c r="B32" s="8"/>
      <c r="C32" s="62" t="s">
        <v>411</v>
      </c>
      <c r="D32" s="15">
        <f>SUM(D23:D31)</f>
        <v>8282.4</v>
      </c>
      <c r="E32" s="15">
        <f t="shared" ref="E32:F32" si="0">SUM(E23:E31)</f>
        <v>5076.7</v>
      </c>
      <c r="F32" s="15">
        <f t="shared" si="0"/>
        <v>5076.7</v>
      </c>
    </row>
  </sheetData>
  <mergeCells count="2"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справочник</vt:lpstr>
      <vt:lpstr>1</vt:lpstr>
      <vt:lpstr>2</vt:lpstr>
      <vt:lpstr>3</vt:lpstr>
      <vt:lpstr>4</vt:lpstr>
      <vt:lpstr>5</vt:lpstr>
      <vt:lpstr>6</vt:lpstr>
      <vt:lpstr>7</vt:lpstr>
      <vt:lpstr>8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'3'!Область_печати</vt:lpstr>
      <vt:lpstr>'4'!Область_печати</vt:lpstr>
      <vt:lpstr>'5'!Область_печати</vt:lpstr>
      <vt:lpstr>'6'!Область_печати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finans1</dc:creator>
  <cp:lastModifiedBy>Пользователь</cp:lastModifiedBy>
  <cp:lastPrinted>2024-07-18T08:54:41Z</cp:lastPrinted>
  <dcterms:created xsi:type="dcterms:W3CDTF">2023-05-24T06:17:42Z</dcterms:created>
  <dcterms:modified xsi:type="dcterms:W3CDTF">2024-10-18T05:24:38Z</dcterms:modified>
</cp:coreProperties>
</file>